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rightspend.sharepoint.com/sites/KPI/Documents partages/Docs de référence/Nomenclature/Nomenclature Fidji ACT/"/>
    </mc:Choice>
  </mc:AlternateContent>
  <xr:revisionPtr revIDLastSave="478" documentId="8_{87E3D620-E205-4957-AA73-13384B26ED68}" xr6:coauthVersionLast="47" xr6:coauthVersionMax="47" xr10:uidLastSave="{C9AACEFA-E5B9-4097-B60E-1C3F78A96C2A}"/>
  <bookViews>
    <workbookView xWindow="-108" yWindow="-108" windowWidth="23256" windowHeight="13896" tabRatio="847" activeTab="2" xr2:uid="{74C2C423-7A92-47E9-B8DF-E712C00ADABE}"/>
  </bookViews>
  <sheets>
    <sheet name="Start" sheetId="24" r:id="rId1"/>
    <sheet name="Reference data" sheetId="18" r:id="rId2"/>
    <sheet name="Action Plan" sheetId="14" r:id="rId3"/>
    <sheet name="Print PDF" sheetId="22" r:id="rId4"/>
    <sheet name="Nomenclature" sheetId="7" state="hidden" r:id="rId5"/>
    <sheet name="Backend" sheetId="8" state="hidden" r:id="rId6"/>
    <sheet name="Calculation" sheetId="19" state="hidden" r:id="rId7"/>
  </sheets>
  <definedNames>
    <definedName name="_xlnm.Print_Area" localSheetId="3">'Print PDF'!$A$1:$L$309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14" l="1"/>
  <c r="D37" i="14" l="1"/>
  <c r="I40" i="14" a="1"/>
  <c r="I40" i="14" s="1"/>
  <c r="N3" i="14" a="1"/>
  <c r="N3" i="14" s="1"/>
  <c r="A3" i="22"/>
  <c r="J161" i="14" a="1"/>
  <c r="J161" i="14" s="1"/>
  <c r="J160" i="14" a="1"/>
  <c r="J160" i="14" s="1"/>
  <c r="J159" i="14" a="1"/>
  <c r="J159" i="14" s="1"/>
  <c r="J158" i="14" a="1"/>
  <c r="J158" i="14" s="1"/>
  <c r="J157" i="14" a="1"/>
  <c r="J157" i="14" s="1"/>
  <c r="J156" i="14" a="1"/>
  <c r="J156" i="14" s="1"/>
  <c r="J155" i="14" a="1"/>
  <c r="J155" i="14" s="1"/>
  <c r="J154" i="14" a="1"/>
  <c r="J154" i="14" s="1"/>
  <c r="J153" i="14" a="1"/>
  <c r="J153" i="14" s="1"/>
  <c r="J152" i="14" a="1"/>
  <c r="J152" i="14" s="1"/>
  <c r="J151" i="14" a="1"/>
  <c r="J151" i="14" s="1"/>
  <c r="J150" i="14" a="1"/>
  <c r="J150" i="14" s="1"/>
  <c r="J149" i="14" a="1"/>
  <c r="J149" i="14" s="1"/>
  <c r="J148" i="14" a="1"/>
  <c r="J148" i="14" s="1"/>
  <c r="J147" i="14" a="1"/>
  <c r="J147" i="14" s="1"/>
  <c r="J146" i="14" a="1"/>
  <c r="J146" i="14" s="1"/>
  <c r="J145" i="14" a="1"/>
  <c r="J145" i="14" s="1"/>
  <c r="J144" i="14" a="1"/>
  <c r="J144" i="14" s="1"/>
  <c r="J143" i="14" a="1"/>
  <c r="J143" i="14" s="1"/>
  <c r="J142" i="14" a="1"/>
  <c r="J142" i="14" s="1"/>
  <c r="J141" i="14" a="1"/>
  <c r="J141" i="14" s="1"/>
  <c r="J140" i="14" a="1"/>
  <c r="J140" i="14" s="1"/>
  <c r="J139" i="14" a="1"/>
  <c r="J139" i="14" s="1"/>
  <c r="J138" i="14" a="1"/>
  <c r="J138" i="14" s="1"/>
  <c r="J137" i="14" a="1"/>
  <c r="J137" i="14" s="1"/>
  <c r="J136" i="14" a="1"/>
  <c r="J136" i="14" s="1"/>
  <c r="J135" i="14" a="1"/>
  <c r="J135" i="14" s="1"/>
  <c r="J134" i="14" a="1"/>
  <c r="J134" i="14" s="1"/>
  <c r="J133" i="14" a="1"/>
  <c r="J133" i="14" s="1"/>
  <c r="J132" i="14" a="1"/>
  <c r="J132" i="14" s="1"/>
  <c r="J131" i="14" a="1"/>
  <c r="J131" i="14" s="1"/>
  <c r="J130" i="14" a="1"/>
  <c r="J130" i="14" s="1"/>
  <c r="J129" i="14" a="1"/>
  <c r="J129" i="14" s="1"/>
  <c r="J128" i="14" a="1"/>
  <c r="J128" i="14" s="1"/>
  <c r="J127" i="14" a="1"/>
  <c r="J127" i="14" s="1"/>
  <c r="J126" i="14" a="1"/>
  <c r="J126" i="14" s="1"/>
  <c r="J125" i="14" a="1"/>
  <c r="J125" i="14" s="1"/>
  <c r="J124" i="14" a="1"/>
  <c r="J124" i="14" s="1"/>
  <c r="J123" i="14" a="1"/>
  <c r="J123" i="14" s="1"/>
  <c r="J122" i="14" a="1"/>
  <c r="J122" i="14" s="1"/>
  <c r="J121" i="14" a="1"/>
  <c r="J121" i="14" s="1"/>
  <c r="J119" i="14" a="1"/>
  <c r="J119" i="14" s="1"/>
  <c r="J118" i="14" a="1"/>
  <c r="J118" i="14" s="1"/>
  <c r="J117" i="14" a="1"/>
  <c r="J117" i="14" s="1"/>
  <c r="J116" i="14" a="1"/>
  <c r="J116" i="14" s="1"/>
  <c r="J115" i="14" a="1"/>
  <c r="J115" i="14" s="1"/>
  <c r="J114" i="14" a="1"/>
  <c r="J114" i="14" s="1"/>
  <c r="J113" i="14" a="1"/>
  <c r="J113" i="14" s="1"/>
  <c r="J112" i="14" a="1"/>
  <c r="J112" i="14" s="1"/>
  <c r="J111" i="14" a="1"/>
  <c r="J111" i="14" s="1"/>
  <c r="J110" i="14" a="1"/>
  <c r="J110" i="14" s="1"/>
  <c r="J109" i="14" a="1"/>
  <c r="J109" i="14" s="1"/>
  <c r="J108" i="14" a="1"/>
  <c r="J108" i="14" s="1"/>
  <c r="J107" i="14" a="1"/>
  <c r="J107" i="14" s="1"/>
  <c r="J106" i="14" a="1"/>
  <c r="J106" i="14" s="1"/>
  <c r="J105" i="14" a="1"/>
  <c r="J105" i="14" s="1"/>
  <c r="J104" i="14" a="1"/>
  <c r="J104" i="14" s="1"/>
  <c r="J103" i="14" a="1"/>
  <c r="J103" i="14" s="1"/>
  <c r="J102" i="14" a="1"/>
  <c r="J102" i="14" s="1"/>
  <c r="J101" i="14" a="1"/>
  <c r="J101" i="14" s="1"/>
  <c r="J100" i="14" a="1"/>
  <c r="J100" i="14" s="1"/>
  <c r="J99" i="14" a="1"/>
  <c r="J99" i="14" s="1"/>
  <c r="J98" i="14" a="1"/>
  <c r="J98" i="14" s="1"/>
  <c r="J97" i="14" a="1"/>
  <c r="J97" i="14" s="1"/>
  <c r="J96" i="14" a="1"/>
  <c r="J96" i="14" s="1"/>
  <c r="J95" i="14" a="1"/>
  <c r="J95" i="14" s="1"/>
  <c r="J94" i="14" a="1"/>
  <c r="J94" i="14" s="1"/>
  <c r="J93" i="14" a="1"/>
  <c r="J93" i="14" s="1"/>
  <c r="J92" i="14" a="1"/>
  <c r="J92" i="14" s="1"/>
  <c r="J91" i="14" a="1"/>
  <c r="J91" i="14" s="1"/>
  <c r="J90" i="14" a="1"/>
  <c r="J90" i="14" s="1"/>
  <c r="J89" i="14" a="1"/>
  <c r="J89" i="14" s="1"/>
  <c r="J88" i="14" a="1"/>
  <c r="J88" i="14" s="1"/>
  <c r="J87" i="14" a="1"/>
  <c r="J87" i="14" s="1"/>
  <c r="J86" i="14" a="1"/>
  <c r="J86" i="14" s="1"/>
  <c r="J85" i="14" a="1"/>
  <c r="J85" i="14" s="1"/>
  <c r="J84" i="14" a="1"/>
  <c r="J84" i="14" s="1"/>
  <c r="J83" i="14" a="1"/>
  <c r="J83" i="14" s="1"/>
  <c r="J82" i="14" a="1"/>
  <c r="J82" i="14" s="1"/>
  <c r="J81" i="14" a="1"/>
  <c r="J81" i="14" s="1"/>
  <c r="J80" i="14" a="1"/>
  <c r="J80" i="14" s="1"/>
  <c r="J79" i="14" a="1"/>
  <c r="J79" i="14" s="1"/>
  <c r="J78" i="14" a="1"/>
  <c r="J78" i="14" s="1"/>
  <c r="J77" i="14" a="1"/>
  <c r="J77" i="14" s="1"/>
  <c r="J76" i="14" a="1"/>
  <c r="J76" i="14" s="1"/>
  <c r="J75" i="14" a="1"/>
  <c r="J75" i="14" s="1"/>
  <c r="J74" i="14" a="1"/>
  <c r="J74" i="14" s="1"/>
  <c r="J73" i="14" a="1"/>
  <c r="J73" i="14" s="1"/>
  <c r="J72" i="14" a="1"/>
  <c r="J72" i="14" s="1"/>
  <c r="J71" i="14" a="1"/>
  <c r="J71" i="14" s="1"/>
  <c r="J70" i="14" a="1"/>
  <c r="J70" i="14" s="1"/>
  <c r="J69" i="14" a="1"/>
  <c r="J69" i="14" s="1"/>
  <c r="J68" i="14" a="1"/>
  <c r="J68" i="14" s="1"/>
  <c r="J67" i="14" a="1"/>
  <c r="J67" i="14" s="1"/>
  <c r="J66" i="14" a="1"/>
  <c r="J66" i="14" s="1"/>
  <c r="J65" i="14" a="1"/>
  <c r="J65" i="14" s="1"/>
  <c r="J64" i="14" a="1"/>
  <c r="J64" i="14" s="1"/>
  <c r="J63" i="14" a="1"/>
  <c r="J63" i="14" s="1"/>
  <c r="J62" i="14" a="1"/>
  <c r="J62" i="14" s="1"/>
  <c r="J61" i="14" a="1"/>
  <c r="J61" i="14" s="1"/>
  <c r="J60" i="14" a="1"/>
  <c r="J60" i="14" s="1"/>
  <c r="J59" i="14" a="1"/>
  <c r="J59" i="14" s="1"/>
  <c r="J58" i="14" a="1"/>
  <c r="J58" i="14" s="1"/>
  <c r="J57" i="14" a="1"/>
  <c r="J57" i="14" s="1"/>
  <c r="J56" i="14" a="1"/>
  <c r="J56" i="14" s="1"/>
  <c r="J55" i="14" a="1"/>
  <c r="J55" i="14" s="1"/>
  <c r="J54" i="14" a="1"/>
  <c r="J54" i="14" s="1"/>
  <c r="J53" i="14" a="1"/>
  <c r="J53" i="14" s="1"/>
  <c r="J52" i="14" a="1"/>
  <c r="J52" i="14" s="1"/>
  <c r="J51" i="14" a="1"/>
  <c r="J51" i="14" s="1"/>
  <c r="J50" i="14" a="1"/>
  <c r="J50" i="14" s="1"/>
  <c r="J49" i="14" a="1"/>
  <c r="J49" i="14" s="1"/>
  <c r="J48" i="14" a="1"/>
  <c r="J48" i="14" s="1"/>
  <c r="J47" i="14" a="1"/>
  <c r="J47" i="14" s="1"/>
  <c r="J46" i="14" a="1"/>
  <c r="J46" i="14" s="1"/>
  <c r="J45" i="14" a="1"/>
  <c r="J45" i="14" s="1"/>
  <c r="J44" i="14" a="1"/>
  <c r="J44" i="14" s="1"/>
  <c r="J43" i="14" a="1"/>
  <c r="J43" i="14" s="1"/>
  <c r="J42" i="14" a="1"/>
  <c r="J42" i="14" s="1"/>
  <c r="J41" i="14" a="1"/>
  <c r="J41" i="14" s="1"/>
  <c r="J40" i="14" a="1"/>
  <c r="J40" i="14" s="1"/>
  <c r="J39" i="14" a="1"/>
  <c r="J39" i="14" s="1"/>
  <c r="J38" i="14" a="1"/>
  <c r="J38" i="14" s="1"/>
  <c r="J37" i="14" a="1"/>
  <c r="J37" i="14" s="1"/>
  <c r="J36" i="14" a="1"/>
  <c r="J36" i="14" s="1"/>
  <c r="J35" i="14" a="1"/>
  <c r="J35" i="14" s="1"/>
  <c r="J34" i="14" a="1"/>
  <c r="J34" i="14" s="1"/>
  <c r="J33" i="14" a="1"/>
  <c r="J33" i="14" s="1"/>
  <c r="J32" i="14" a="1"/>
  <c r="J32" i="14" s="1"/>
  <c r="J31" i="14" a="1"/>
  <c r="J31" i="14" s="1"/>
  <c r="J30" i="14" a="1"/>
  <c r="J30" i="14" s="1"/>
  <c r="J29" i="14" a="1"/>
  <c r="J29" i="14" s="1"/>
  <c r="J28" i="14" a="1"/>
  <c r="J28" i="14" s="1"/>
  <c r="J27" i="14" a="1"/>
  <c r="J27" i="14" s="1"/>
  <c r="J26" i="14" a="1"/>
  <c r="J26" i="14" s="1"/>
  <c r="J25" i="14" a="1"/>
  <c r="J25" i="14" s="1"/>
  <c r="J24" i="14" a="1"/>
  <c r="J24" i="14" s="1"/>
  <c r="J23" i="14" a="1"/>
  <c r="J23" i="14" s="1"/>
  <c r="J22" i="14" a="1"/>
  <c r="J22" i="14" s="1"/>
  <c r="J21" i="14" a="1"/>
  <c r="J21" i="14" s="1"/>
  <c r="J20" i="14" a="1"/>
  <c r="J20" i="14" s="1"/>
  <c r="J19" i="14" a="1"/>
  <c r="J19" i="14" s="1"/>
  <c r="J18" i="14" a="1"/>
  <c r="J18" i="14" s="1"/>
  <c r="J17" i="14" a="1"/>
  <c r="J17" i="14" s="1"/>
  <c r="J16" i="14" a="1"/>
  <c r="J16" i="14" s="1"/>
  <c r="J15" i="14" a="1"/>
  <c r="J15" i="14" s="1"/>
  <c r="J14" i="14" a="1"/>
  <c r="J14" i="14" s="1"/>
  <c r="J13" i="14" a="1"/>
  <c r="J13" i="14" s="1"/>
  <c r="J12" i="14" a="1"/>
  <c r="J12" i="14" s="1"/>
  <c r="J11" i="14" a="1"/>
  <c r="J11" i="14" s="1"/>
  <c r="J10" i="14" a="1"/>
  <c r="J10" i="14" s="1"/>
  <c r="J9" i="14" a="1"/>
  <c r="J9" i="14" s="1"/>
  <c r="J8" i="14" a="1"/>
  <c r="J8" i="14" s="1"/>
  <c r="J7" i="14" a="1"/>
  <c r="J7" i="14" s="1"/>
  <c r="J6" i="14" a="1"/>
  <c r="J6" i="14" s="1"/>
  <c r="J5" i="14" a="1"/>
  <c r="J5" i="14" s="1"/>
  <c r="J4" i="14" a="1"/>
  <c r="J4" i="14" s="1"/>
  <c r="J3" i="14" a="1"/>
  <c r="J3" i="14" s="1"/>
  <c r="J2" i="14" a="1"/>
  <c r="J2" i="14" s="1"/>
  <c r="I161" i="14" a="1"/>
  <c r="I161" i="14" s="1"/>
  <c r="I160" i="14" a="1"/>
  <c r="I160" i="14" s="1"/>
  <c r="I159" i="14" a="1"/>
  <c r="I159" i="14" s="1"/>
  <c r="I158" i="14" a="1"/>
  <c r="I158" i="14" s="1"/>
  <c r="I157" i="14" a="1"/>
  <c r="I157" i="14" s="1"/>
  <c r="I156" i="14" a="1"/>
  <c r="I156" i="14" s="1"/>
  <c r="I155" i="14" a="1"/>
  <c r="I155" i="14" s="1"/>
  <c r="I154" i="14" a="1"/>
  <c r="I154" i="14" s="1"/>
  <c r="I153" i="14" a="1"/>
  <c r="I153" i="14" s="1"/>
  <c r="I152" i="14" a="1"/>
  <c r="I152" i="14" s="1"/>
  <c r="I151" i="14" a="1"/>
  <c r="I151" i="14" s="1"/>
  <c r="I150" i="14" a="1"/>
  <c r="I150" i="14" s="1"/>
  <c r="I149" i="14" a="1"/>
  <c r="I149" i="14" s="1"/>
  <c r="I148" i="14" a="1"/>
  <c r="I148" i="14" s="1"/>
  <c r="I147" i="14" a="1"/>
  <c r="I147" i="14" s="1"/>
  <c r="I146" i="14" a="1"/>
  <c r="I146" i="14" s="1"/>
  <c r="I145" i="14" a="1"/>
  <c r="I145" i="14" s="1"/>
  <c r="I144" i="14" a="1"/>
  <c r="I144" i="14" s="1"/>
  <c r="I143" i="14" a="1"/>
  <c r="I143" i="14" s="1"/>
  <c r="I142" i="14" a="1"/>
  <c r="I142" i="14" s="1"/>
  <c r="I141" i="14" a="1"/>
  <c r="I141" i="14" s="1"/>
  <c r="I140" i="14" a="1"/>
  <c r="I140" i="14" s="1"/>
  <c r="I139" i="14" a="1"/>
  <c r="I139" i="14" s="1"/>
  <c r="I138" i="14" a="1"/>
  <c r="I138" i="14" s="1"/>
  <c r="I137" i="14" a="1"/>
  <c r="I137" i="14" s="1"/>
  <c r="I136" i="14" a="1"/>
  <c r="I136" i="14" s="1"/>
  <c r="I135" i="14" a="1"/>
  <c r="I135" i="14" s="1"/>
  <c r="I134" i="14" a="1"/>
  <c r="I134" i="14" s="1"/>
  <c r="I133" i="14" a="1"/>
  <c r="I133" i="14" s="1"/>
  <c r="I132" i="14" a="1"/>
  <c r="I132" i="14" s="1"/>
  <c r="I131" i="14" a="1"/>
  <c r="I131" i="14" s="1"/>
  <c r="I130" i="14" a="1"/>
  <c r="I130" i="14" s="1"/>
  <c r="I129" i="14" a="1"/>
  <c r="I129" i="14" s="1"/>
  <c r="I128" i="14" a="1"/>
  <c r="I128" i="14" s="1"/>
  <c r="I127" i="14" a="1"/>
  <c r="I127" i="14" s="1"/>
  <c r="I126" i="14" a="1"/>
  <c r="I126" i="14" s="1"/>
  <c r="I125" i="14" a="1"/>
  <c r="I125" i="14" s="1"/>
  <c r="I124" i="14" a="1"/>
  <c r="I124" i="14" s="1"/>
  <c r="I123" i="14" a="1"/>
  <c r="I123" i="14" s="1"/>
  <c r="I122" i="14" a="1"/>
  <c r="I122" i="14" s="1"/>
  <c r="I121" i="14" a="1"/>
  <c r="I121" i="14" s="1"/>
  <c r="I120" i="14" a="1"/>
  <c r="I120" i="14" s="1"/>
  <c r="I118" i="14" a="1"/>
  <c r="I118" i="14" s="1"/>
  <c r="I117" i="14" a="1"/>
  <c r="I117" i="14" s="1"/>
  <c r="I116" i="14" a="1"/>
  <c r="I116" i="14" s="1"/>
  <c r="I115" i="14" a="1"/>
  <c r="I115" i="14" s="1"/>
  <c r="I114" i="14" a="1"/>
  <c r="I114" i="14" s="1"/>
  <c r="I113" i="14" a="1"/>
  <c r="I113" i="14" s="1"/>
  <c r="I112" i="14" a="1"/>
  <c r="I112" i="14" s="1"/>
  <c r="I111" i="14" a="1"/>
  <c r="I111" i="14" s="1"/>
  <c r="I110" i="14" a="1"/>
  <c r="I110" i="14" s="1"/>
  <c r="I109" i="14" a="1"/>
  <c r="I109" i="14" s="1"/>
  <c r="I108" i="14" a="1"/>
  <c r="I108" i="14" s="1"/>
  <c r="I107" i="14" a="1"/>
  <c r="I107" i="14" s="1"/>
  <c r="I106" i="14" a="1"/>
  <c r="I106" i="14" s="1"/>
  <c r="I105" i="14" a="1"/>
  <c r="I105" i="14" s="1"/>
  <c r="I104" i="14" a="1"/>
  <c r="I104" i="14" s="1"/>
  <c r="I103" i="14" a="1"/>
  <c r="I103" i="14" s="1"/>
  <c r="I102" i="14" a="1"/>
  <c r="I102" i="14" s="1"/>
  <c r="I101" i="14" a="1"/>
  <c r="I101" i="14" s="1"/>
  <c r="I100" i="14" a="1"/>
  <c r="I100" i="14" s="1"/>
  <c r="I99" i="14" a="1"/>
  <c r="I99" i="14" s="1"/>
  <c r="I98" i="14" a="1"/>
  <c r="I98" i="14" s="1"/>
  <c r="I97" i="14" a="1"/>
  <c r="I97" i="14" s="1"/>
  <c r="I96" i="14" a="1"/>
  <c r="I96" i="14" s="1"/>
  <c r="I95" i="14" a="1"/>
  <c r="I95" i="14" s="1"/>
  <c r="I94" i="14" a="1"/>
  <c r="I94" i="14" s="1"/>
  <c r="I93" i="14" a="1"/>
  <c r="I93" i="14" s="1"/>
  <c r="I92" i="14" a="1"/>
  <c r="I92" i="14" s="1"/>
  <c r="I91" i="14" a="1"/>
  <c r="I91" i="14" s="1"/>
  <c r="I90" i="14" a="1"/>
  <c r="I90" i="14" s="1"/>
  <c r="I89" i="14" a="1"/>
  <c r="I89" i="14" s="1"/>
  <c r="I88" i="14" a="1"/>
  <c r="I88" i="14" s="1"/>
  <c r="I87" i="14" a="1"/>
  <c r="I87" i="14" s="1"/>
  <c r="I86" i="14" a="1"/>
  <c r="I86" i="14" s="1"/>
  <c r="I85" i="14" a="1"/>
  <c r="I85" i="14" s="1"/>
  <c r="I84" i="14" a="1"/>
  <c r="I84" i="14" s="1"/>
  <c r="I83" i="14" a="1"/>
  <c r="I83" i="14" s="1"/>
  <c r="I82" i="14" a="1"/>
  <c r="I82" i="14" s="1"/>
  <c r="I81" i="14" a="1"/>
  <c r="I81" i="14" s="1"/>
  <c r="I80" i="14" a="1"/>
  <c r="I80" i="14" s="1"/>
  <c r="I79" i="14" a="1"/>
  <c r="I79" i="14" s="1"/>
  <c r="I78" i="14" a="1"/>
  <c r="I78" i="14" s="1"/>
  <c r="I77" i="14" a="1"/>
  <c r="I77" i="14" s="1"/>
  <c r="I76" i="14" a="1"/>
  <c r="I76" i="14" s="1"/>
  <c r="I75" i="14" a="1"/>
  <c r="I75" i="14" s="1"/>
  <c r="I74" i="14" a="1"/>
  <c r="I74" i="14" s="1"/>
  <c r="I73" i="14" a="1"/>
  <c r="I73" i="14" s="1"/>
  <c r="I72" i="14" a="1"/>
  <c r="I72" i="14" s="1"/>
  <c r="I71" i="14" a="1"/>
  <c r="I71" i="14" s="1"/>
  <c r="I70" i="14" a="1"/>
  <c r="I70" i="14" s="1"/>
  <c r="I69" i="14" a="1"/>
  <c r="I69" i="14" s="1"/>
  <c r="I68" i="14" a="1"/>
  <c r="I68" i="14" s="1"/>
  <c r="I67" i="14" a="1"/>
  <c r="I67" i="14" s="1"/>
  <c r="I66" i="14" a="1"/>
  <c r="I66" i="14" s="1"/>
  <c r="I65" i="14" a="1"/>
  <c r="I65" i="14" s="1"/>
  <c r="I64" i="14" a="1"/>
  <c r="I64" i="14" s="1"/>
  <c r="I63" i="14" a="1"/>
  <c r="I63" i="14" s="1"/>
  <c r="I62" i="14" a="1"/>
  <c r="I62" i="14" s="1"/>
  <c r="I61" i="14" a="1"/>
  <c r="I61" i="14" s="1"/>
  <c r="I60" i="14" a="1"/>
  <c r="I60" i="14" s="1"/>
  <c r="I59" i="14" a="1"/>
  <c r="I59" i="14" s="1"/>
  <c r="I58" i="14" a="1"/>
  <c r="I58" i="14" s="1"/>
  <c r="I57" i="14" a="1"/>
  <c r="I57" i="14" s="1"/>
  <c r="I56" i="14" a="1"/>
  <c r="I56" i="14" s="1"/>
  <c r="I55" i="14" a="1"/>
  <c r="I55" i="14" s="1"/>
  <c r="I54" i="14" a="1"/>
  <c r="I54" i="14" s="1"/>
  <c r="I53" i="14" a="1"/>
  <c r="I53" i="14" s="1"/>
  <c r="I52" i="14" a="1"/>
  <c r="I52" i="14" s="1"/>
  <c r="I51" i="14" a="1"/>
  <c r="I51" i="14" s="1"/>
  <c r="I50" i="14" a="1"/>
  <c r="I50" i="14" s="1"/>
  <c r="I49" i="14" a="1"/>
  <c r="I49" i="14" s="1"/>
  <c r="I48" i="14" a="1"/>
  <c r="I48" i="14" s="1"/>
  <c r="I47" i="14" a="1"/>
  <c r="I47" i="14" s="1"/>
  <c r="I46" i="14" a="1"/>
  <c r="I46" i="14" s="1"/>
  <c r="I45" i="14" a="1"/>
  <c r="I45" i="14" s="1"/>
  <c r="I44" i="14" a="1"/>
  <c r="I44" i="14" s="1"/>
  <c r="I43" i="14" a="1"/>
  <c r="I43" i="14" s="1"/>
  <c r="I42" i="14" a="1"/>
  <c r="I42" i="14" s="1"/>
  <c r="I41" i="14" a="1"/>
  <c r="I41" i="14" s="1"/>
  <c r="I39" i="14" a="1"/>
  <c r="I39" i="14" s="1"/>
  <c r="I38" i="14" a="1"/>
  <c r="I38" i="14" s="1"/>
  <c r="I37" i="14" a="1"/>
  <c r="I37" i="14" s="1"/>
  <c r="I36" i="14" a="1"/>
  <c r="I36" i="14" s="1"/>
  <c r="I35" i="14" a="1"/>
  <c r="I35" i="14" s="1"/>
  <c r="I34" i="14" a="1"/>
  <c r="I34" i="14" s="1"/>
  <c r="I33" i="14" a="1"/>
  <c r="I33" i="14" s="1"/>
  <c r="I32" i="14" a="1"/>
  <c r="I32" i="14" s="1"/>
  <c r="I31" i="14" a="1"/>
  <c r="I31" i="14" s="1"/>
  <c r="I30" i="14" a="1"/>
  <c r="I30" i="14" s="1"/>
  <c r="I29" i="14" a="1"/>
  <c r="I29" i="14" s="1"/>
  <c r="I28" i="14" a="1"/>
  <c r="I28" i="14" s="1"/>
  <c r="I27" i="14" a="1"/>
  <c r="I27" i="14" s="1"/>
  <c r="I26" i="14" a="1"/>
  <c r="I26" i="14" s="1"/>
  <c r="I25" i="14" a="1"/>
  <c r="I25" i="14" s="1"/>
  <c r="I24" i="14" a="1"/>
  <c r="I24" i="14" s="1"/>
  <c r="I23" i="14" a="1"/>
  <c r="I23" i="14" s="1"/>
  <c r="I22" i="14" a="1"/>
  <c r="I22" i="14" s="1"/>
  <c r="I21" i="14" a="1"/>
  <c r="I21" i="14" s="1"/>
  <c r="I20" i="14" a="1"/>
  <c r="I20" i="14" s="1"/>
  <c r="I19" i="14" a="1"/>
  <c r="I19" i="14" s="1"/>
  <c r="I18" i="14" a="1"/>
  <c r="I18" i="14" s="1"/>
  <c r="I17" i="14" a="1"/>
  <c r="I17" i="14" s="1"/>
  <c r="I16" i="14" a="1"/>
  <c r="I16" i="14" s="1"/>
  <c r="I15" i="14" a="1"/>
  <c r="I15" i="14" s="1"/>
  <c r="I14" i="14" a="1"/>
  <c r="I14" i="14" s="1"/>
  <c r="I13" i="14" a="1"/>
  <c r="I13" i="14" s="1"/>
  <c r="I12" i="14" a="1"/>
  <c r="I12" i="14" s="1"/>
  <c r="I11" i="14" a="1"/>
  <c r="I11" i="14" s="1"/>
  <c r="I10" i="14" a="1"/>
  <c r="I10" i="14" s="1"/>
  <c r="AA2" i="14" a="1"/>
  <c r="AA2" i="14" s="1"/>
  <c r="AA3" i="14" a="1"/>
  <c r="AA3" i="14" s="1"/>
  <c r="AA4" i="14" a="1"/>
  <c r="AA4" i="14" s="1"/>
  <c r="AA5" i="14" a="1"/>
  <c r="AA5" i="14" s="1"/>
  <c r="AA6" i="14" a="1"/>
  <c r="AA6" i="14" s="1"/>
  <c r="AA8" i="14" a="1"/>
  <c r="AA8" i="14" s="1"/>
  <c r="AA9" i="14" a="1"/>
  <c r="AA9" i="14" s="1"/>
  <c r="AA10" i="14" a="1"/>
  <c r="AA10" i="14" s="1"/>
  <c r="AA11" i="14" a="1"/>
  <c r="AA11" i="14" s="1"/>
  <c r="AA12" i="14" a="1"/>
  <c r="AA12" i="14" s="1"/>
  <c r="AA13" i="14" a="1"/>
  <c r="AA13" i="14" s="1"/>
  <c r="AA14" i="14" a="1"/>
  <c r="AA14" i="14" s="1"/>
  <c r="AA15" i="14" a="1"/>
  <c r="AA15" i="14" s="1"/>
  <c r="AA16" i="14" a="1"/>
  <c r="AA16" i="14" s="1"/>
  <c r="AA17" i="14" a="1"/>
  <c r="AA17" i="14" s="1"/>
  <c r="AA18" i="14" a="1"/>
  <c r="AA18" i="14" s="1"/>
  <c r="AA19" i="14" a="1"/>
  <c r="AA19" i="14" s="1"/>
  <c r="AA20" i="14" a="1"/>
  <c r="AA20" i="14" s="1"/>
  <c r="AA21" i="14" a="1"/>
  <c r="AA21" i="14" s="1"/>
  <c r="AA22" i="14" a="1"/>
  <c r="AA22" i="14" s="1"/>
  <c r="AA23" i="14" a="1"/>
  <c r="AA23" i="14" s="1"/>
  <c r="AA24" i="14" a="1"/>
  <c r="AA24" i="14" s="1"/>
  <c r="AA25" i="14" a="1"/>
  <c r="AA25" i="14" s="1"/>
  <c r="AA26" i="14" a="1"/>
  <c r="AA26" i="14" s="1"/>
  <c r="AA27" i="14" a="1"/>
  <c r="AA27" i="14" s="1"/>
  <c r="AA28" i="14" a="1"/>
  <c r="AA28" i="14" s="1"/>
  <c r="AA29" i="14" a="1"/>
  <c r="AA29" i="14" s="1"/>
  <c r="AA30" i="14" a="1"/>
  <c r="AA30" i="14" s="1"/>
  <c r="AA31" i="14" a="1"/>
  <c r="AA31" i="14" s="1"/>
  <c r="AA32" i="14" a="1"/>
  <c r="AA32" i="14" s="1"/>
  <c r="AA33" i="14" a="1"/>
  <c r="AA33" i="14" s="1"/>
  <c r="AA34" i="14" a="1"/>
  <c r="AA34" i="14" s="1"/>
  <c r="AA35" i="14" a="1"/>
  <c r="AA35" i="14" s="1"/>
  <c r="AA36" i="14" a="1"/>
  <c r="AA36" i="14" s="1"/>
  <c r="AA37" i="14" a="1"/>
  <c r="AA37" i="14" s="1"/>
  <c r="AA38" i="14" a="1"/>
  <c r="AA38" i="14" s="1"/>
  <c r="AA39" i="14" a="1"/>
  <c r="AA39" i="14" s="1"/>
  <c r="AA40" i="14" a="1"/>
  <c r="AA40" i="14" s="1"/>
  <c r="AA41" i="14" a="1"/>
  <c r="AA41" i="14" s="1"/>
  <c r="AA42" i="14" a="1"/>
  <c r="AA42" i="14" s="1"/>
  <c r="AA43" i="14" a="1"/>
  <c r="AA43" i="14" s="1"/>
  <c r="AA44" i="14" a="1"/>
  <c r="AA44" i="14" s="1"/>
  <c r="AA45" i="14" a="1"/>
  <c r="AA45" i="14" s="1"/>
  <c r="AA46" i="14" a="1"/>
  <c r="AA46" i="14" s="1"/>
  <c r="AA47" i="14" a="1"/>
  <c r="AA47" i="14" s="1"/>
  <c r="AA48" i="14" a="1"/>
  <c r="AA48" i="14" s="1"/>
  <c r="AA49" i="14" a="1"/>
  <c r="AA49" i="14" s="1"/>
  <c r="AA50" i="14" a="1"/>
  <c r="AA50" i="14" s="1"/>
  <c r="AA51" i="14" a="1"/>
  <c r="AA51" i="14" s="1"/>
  <c r="AA52" i="14" a="1"/>
  <c r="AA52" i="14" s="1"/>
  <c r="AA53" i="14" a="1"/>
  <c r="AA53" i="14" s="1"/>
  <c r="AA54" i="14" a="1"/>
  <c r="AA54" i="14" s="1"/>
  <c r="AA55" i="14" a="1"/>
  <c r="AA55" i="14" s="1"/>
  <c r="AA56" i="14" a="1"/>
  <c r="AA56" i="14" s="1"/>
  <c r="AA57" i="14" a="1"/>
  <c r="AA57" i="14" s="1"/>
  <c r="AA58" i="14" a="1"/>
  <c r="AA58" i="14" s="1"/>
  <c r="AA59" i="14" a="1"/>
  <c r="AA59" i="14" s="1"/>
  <c r="AA60" i="14" a="1"/>
  <c r="AA60" i="14" s="1"/>
  <c r="AA61" i="14" a="1"/>
  <c r="AA61" i="14" s="1"/>
  <c r="AA62" i="14" a="1"/>
  <c r="AA62" i="14" s="1"/>
  <c r="AA63" i="14" a="1"/>
  <c r="AA63" i="14" s="1"/>
  <c r="AA64" i="14" a="1"/>
  <c r="AA64" i="14" s="1"/>
  <c r="AA65" i="14" a="1"/>
  <c r="AA65" i="14" s="1"/>
  <c r="AA66" i="14" a="1"/>
  <c r="AA66" i="14" s="1"/>
  <c r="AA67" i="14" a="1"/>
  <c r="AA67" i="14" s="1"/>
  <c r="AA68" i="14" a="1"/>
  <c r="AA68" i="14" s="1"/>
  <c r="AA69" i="14" a="1"/>
  <c r="AA69" i="14" s="1"/>
  <c r="AA70" i="14" a="1"/>
  <c r="AA70" i="14" s="1"/>
  <c r="AA71" i="14" a="1"/>
  <c r="AA71" i="14" s="1"/>
  <c r="AA72" i="14" a="1"/>
  <c r="AA72" i="14" s="1"/>
  <c r="AA73" i="14" a="1"/>
  <c r="AA73" i="14" s="1"/>
  <c r="AA74" i="14" a="1"/>
  <c r="AA74" i="14" s="1"/>
  <c r="AA75" i="14" a="1"/>
  <c r="AA75" i="14" s="1"/>
  <c r="AA76" i="14" a="1"/>
  <c r="AA76" i="14" s="1"/>
  <c r="AA77" i="14" a="1"/>
  <c r="AA77" i="14" s="1"/>
  <c r="AA78" i="14" a="1"/>
  <c r="AA78" i="14" s="1"/>
  <c r="AA79" i="14" a="1"/>
  <c r="AA79" i="14" s="1"/>
  <c r="AA80" i="14" a="1"/>
  <c r="AA80" i="14" s="1"/>
  <c r="AA81" i="14" a="1"/>
  <c r="AA81" i="14" s="1"/>
  <c r="AA82" i="14" a="1"/>
  <c r="AA82" i="14" s="1"/>
  <c r="AA83" i="14" a="1"/>
  <c r="AA83" i="14" s="1"/>
  <c r="AA84" i="14" a="1"/>
  <c r="AA84" i="14" s="1"/>
  <c r="AA85" i="14" a="1"/>
  <c r="AA85" i="14" s="1"/>
  <c r="AA86" i="14" a="1"/>
  <c r="AA86" i="14" s="1"/>
  <c r="AA87" i="14" a="1"/>
  <c r="AA87" i="14" s="1"/>
  <c r="AA88" i="14" a="1"/>
  <c r="AA88" i="14" s="1"/>
  <c r="AA89" i="14" a="1"/>
  <c r="AA89" i="14" s="1"/>
  <c r="AA90" i="14" a="1"/>
  <c r="AA90" i="14" s="1"/>
  <c r="AA91" i="14" a="1"/>
  <c r="AA91" i="14" s="1"/>
  <c r="AA92" i="14" a="1"/>
  <c r="AA92" i="14" s="1"/>
  <c r="AA93" i="14" a="1"/>
  <c r="AA93" i="14" s="1"/>
  <c r="AA94" i="14" a="1"/>
  <c r="AA94" i="14" s="1"/>
  <c r="AA95" i="14" a="1"/>
  <c r="AA95" i="14" s="1"/>
  <c r="AA96" i="14" a="1"/>
  <c r="AA96" i="14" s="1"/>
  <c r="AA97" i="14" a="1"/>
  <c r="AA97" i="14" s="1"/>
  <c r="AA98" i="14" a="1"/>
  <c r="AA98" i="14" s="1"/>
  <c r="AA99" i="14" a="1"/>
  <c r="AA99" i="14" s="1"/>
  <c r="AA100" i="14" a="1"/>
  <c r="AA100" i="14" s="1"/>
  <c r="AA101" i="14" a="1"/>
  <c r="AA101" i="14" s="1"/>
  <c r="AA102" i="14" a="1"/>
  <c r="AA102" i="14" s="1"/>
  <c r="AA103" i="14" a="1"/>
  <c r="AA103" i="14" s="1"/>
  <c r="AA104" i="14" a="1"/>
  <c r="AA104" i="14" s="1"/>
  <c r="AA105" i="14" a="1"/>
  <c r="AA105" i="14" s="1"/>
  <c r="AA106" i="14" a="1"/>
  <c r="AA106" i="14" s="1"/>
  <c r="AA107" i="14" a="1"/>
  <c r="AA107" i="14" s="1"/>
  <c r="AA108" i="14" a="1"/>
  <c r="AA108" i="14" s="1"/>
  <c r="AA109" i="14" a="1"/>
  <c r="AA109" i="14" s="1"/>
  <c r="AA110" i="14" a="1"/>
  <c r="AA110" i="14" s="1"/>
  <c r="AA111" i="14" a="1"/>
  <c r="AA111" i="14" s="1"/>
  <c r="AA112" i="14" a="1"/>
  <c r="AA112" i="14" s="1"/>
  <c r="AA113" i="14" a="1"/>
  <c r="AA113" i="14" s="1"/>
  <c r="AA114" i="14" a="1"/>
  <c r="AA114" i="14" s="1"/>
  <c r="AA115" i="14" a="1"/>
  <c r="AA115" i="14" s="1"/>
  <c r="AA116" i="14" a="1"/>
  <c r="AA116" i="14" s="1"/>
  <c r="AA117" i="14" a="1"/>
  <c r="AA117" i="14" s="1"/>
  <c r="AA118" i="14" a="1"/>
  <c r="AA118" i="14" s="1"/>
  <c r="AA119" i="14" a="1"/>
  <c r="AA119" i="14" s="1"/>
  <c r="AA120" i="14" a="1"/>
  <c r="AA120" i="14" s="1"/>
  <c r="AA121" i="14" a="1"/>
  <c r="AA121" i="14" s="1"/>
  <c r="AA122" i="14" a="1"/>
  <c r="AA122" i="14" s="1"/>
  <c r="AA123" i="14" a="1"/>
  <c r="AA123" i="14" s="1"/>
  <c r="AA124" i="14" a="1"/>
  <c r="AA124" i="14" s="1"/>
  <c r="AA125" i="14" a="1"/>
  <c r="AA125" i="14" s="1"/>
  <c r="AA126" i="14" a="1"/>
  <c r="AA126" i="14" s="1"/>
  <c r="AA127" i="14" a="1"/>
  <c r="AA127" i="14" s="1"/>
  <c r="AA128" i="14" a="1"/>
  <c r="AA128" i="14" s="1"/>
  <c r="AA129" i="14" a="1"/>
  <c r="AA129" i="14" s="1"/>
  <c r="AA130" i="14" a="1"/>
  <c r="AA130" i="14" s="1"/>
  <c r="AA131" i="14" a="1"/>
  <c r="AA131" i="14" s="1"/>
  <c r="AA132" i="14" a="1"/>
  <c r="AA132" i="14" s="1"/>
  <c r="AA133" i="14" a="1"/>
  <c r="AA133" i="14" s="1"/>
  <c r="AA134" i="14" a="1"/>
  <c r="AA134" i="14" s="1"/>
  <c r="AA135" i="14" a="1"/>
  <c r="AA135" i="14" s="1"/>
  <c r="AA136" i="14" a="1"/>
  <c r="AA136" i="14" s="1"/>
  <c r="AA137" i="14" a="1"/>
  <c r="AA137" i="14" s="1"/>
  <c r="AA138" i="14" a="1"/>
  <c r="AA138" i="14" s="1"/>
  <c r="AA139" i="14" a="1"/>
  <c r="AA139" i="14" s="1"/>
  <c r="AA140" i="14" a="1"/>
  <c r="AA140" i="14" s="1"/>
  <c r="AA141" i="14" a="1"/>
  <c r="AA141" i="14" s="1"/>
  <c r="AA142" i="14" a="1"/>
  <c r="AA142" i="14" s="1"/>
  <c r="AA143" i="14" a="1"/>
  <c r="AA143" i="14" s="1"/>
  <c r="AA144" i="14" a="1"/>
  <c r="AA144" i="14" s="1"/>
  <c r="AA145" i="14" a="1"/>
  <c r="AA145" i="14" s="1"/>
  <c r="AA146" i="14" a="1"/>
  <c r="AA146" i="14" s="1"/>
  <c r="AA147" i="14" a="1"/>
  <c r="AA147" i="14" s="1"/>
  <c r="AA148" i="14" a="1"/>
  <c r="AA148" i="14" s="1"/>
  <c r="AA149" i="14" a="1"/>
  <c r="AA149" i="14" s="1"/>
  <c r="AA150" i="14" a="1"/>
  <c r="AA150" i="14" s="1"/>
  <c r="AA151" i="14" a="1"/>
  <c r="AA151" i="14" s="1"/>
  <c r="AA152" i="14" a="1"/>
  <c r="AA152" i="14" s="1"/>
  <c r="AA153" i="14" a="1"/>
  <c r="AA153" i="14" s="1"/>
  <c r="AA154" i="14" a="1"/>
  <c r="AA154" i="14" s="1"/>
  <c r="AA155" i="14" a="1"/>
  <c r="AA155" i="14" s="1"/>
  <c r="AA156" i="14" a="1"/>
  <c r="AA156" i="14" s="1"/>
  <c r="AA157" i="14" a="1"/>
  <c r="AA157" i="14" s="1"/>
  <c r="AA158" i="14" a="1"/>
  <c r="AA158" i="14" s="1"/>
  <c r="AA159" i="14" a="1"/>
  <c r="AA159" i="14" s="1"/>
  <c r="AA160" i="14" a="1"/>
  <c r="AA160" i="14" s="1"/>
  <c r="AA161" i="14" a="1"/>
  <c r="AA161" i="14" s="1"/>
  <c r="N4" i="14" a="1"/>
  <c r="N4" i="14" s="1"/>
  <c r="N5" i="14" a="1"/>
  <c r="N5" i="14" s="1"/>
  <c r="G286" i="22" l="1" a="1"/>
  <c r="G286" i="22" s="1"/>
  <c r="A286" i="22" a="1"/>
  <c r="A286" i="22" s="1"/>
  <c r="C286" i="22" a="1"/>
  <c r="C286" i="22" s="1"/>
  <c r="F286" i="22" a="1"/>
  <c r="F286" i="22" s="1"/>
  <c r="G253" i="22" a="1"/>
  <c r="G253" i="22" s="1"/>
  <c r="F253" i="22" a="1"/>
  <c r="F253" i="22" s="1"/>
  <c r="C253" i="22" a="1"/>
  <c r="C253" i="22" s="1"/>
  <c r="A253" i="22" a="1"/>
  <c r="A253" i="22" s="1"/>
  <c r="K154" i="22"/>
  <c r="G153" i="22"/>
  <c r="C154" i="22"/>
  <c r="C180" i="22"/>
  <c r="C182" i="22"/>
  <c r="K156" i="22"/>
  <c r="K157" i="22"/>
  <c r="C157" i="22"/>
  <c r="G157" i="22"/>
  <c r="G156" i="22"/>
  <c r="C156" i="22"/>
  <c r="C128" i="22"/>
  <c r="G128" i="22"/>
  <c r="K128" i="22"/>
  <c r="K129" i="22"/>
  <c r="G129" i="22"/>
  <c r="C129" i="22"/>
  <c r="K52" i="22"/>
  <c r="G52" i="22"/>
  <c r="C27" i="22"/>
  <c r="G27" i="22"/>
  <c r="K27" i="22"/>
  <c r="C52" i="22"/>
  <c r="C77" i="22"/>
  <c r="G77" i="22"/>
  <c r="K77" i="22"/>
  <c r="C101" i="22"/>
  <c r="G101" i="22"/>
  <c r="K101" i="22"/>
  <c r="K100" i="22"/>
  <c r="G100" i="22"/>
  <c r="C100" i="22"/>
  <c r="C98" i="22"/>
  <c r="C99" i="22"/>
  <c r="K76" i="22"/>
  <c r="G50" i="22"/>
  <c r="G76" i="22"/>
  <c r="C76" i="22"/>
  <c r="K50" i="22"/>
  <c r="K51" i="22"/>
  <c r="G51" i="22"/>
  <c r="C51" i="22"/>
  <c r="K26" i="22"/>
  <c r="G26" i="22"/>
  <c r="C26" i="22"/>
  <c r="C181" i="22"/>
  <c r="K155" i="22"/>
  <c r="G155" i="22"/>
  <c r="C155" i="22"/>
  <c r="K127" i="22"/>
  <c r="G127" i="22"/>
  <c r="C127" i="22"/>
  <c r="K99" i="22"/>
  <c r="G99" i="22"/>
  <c r="K75" i="22"/>
  <c r="G75" i="22"/>
  <c r="C75" i="22"/>
  <c r="C50" i="22"/>
  <c r="K25" i="22"/>
  <c r="G25" i="22"/>
  <c r="C25" i="22"/>
  <c r="G154" i="22" l="1"/>
  <c r="K126" i="22"/>
  <c r="G126" i="22"/>
  <c r="C126" i="22"/>
  <c r="K98" i="22"/>
  <c r="G98" i="22"/>
  <c r="K74" i="22"/>
  <c r="G74" i="22"/>
  <c r="C74" i="22"/>
  <c r="K49" i="22"/>
  <c r="G49" i="22"/>
  <c r="C49" i="22"/>
  <c r="K24" i="22"/>
  <c r="G24" i="22"/>
  <c r="C24" i="22"/>
  <c r="K23" i="22"/>
  <c r="N13" i="14" l="1" a="1"/>
  <c r="N13" i="14" s="1"/>
  <c r="K73" i="22"/>
  <c r="G73" i="22"/>
  <c r="C48" i="22"/>
  <c r="G48" i="22"/>
  <c r="K48" i="22"/>
  <c r="G23" i="22"/>
  <c r="C23" i="22"/>
  <c r="C73" i="22"/>
  <c r="K97" i="22"/>
  <c r="G97" i="22"/>
  <c r="C97" i="22"/>
  <c r="C183" i="22" l="1"/>
  <c r="G125" i="22" l="1"/>
  <c r="K125" i="22"/>
  <c r="C125" i="22"/>
  <c r="C153" i="22"/>
  <c r="K153" i="22"/>
  <c r="C179" i="22" l="1"/>
  <c r="N12" i="14" l="1" a="1"/>
  <c r="N12" i="14" s="1"/>
  <c r="N2" i="14" l="1" a="1"/>
  <c r="N2" i="14" s="1"/>
  <c r="N6" i="14" a="1"/>
  <c r="N6" i="14" s="1"/>
  <c r="N14" i="14" a="1"/>
  <c r="N14" i="14" s="1"/>
  <c r="N15" i="14" a="1"/>
  <c r="N15" i="14" s="1"/>
  <c r="N16" i="14" a="1"/>
  <c r="N16" i="14" s="1"/>
  <c r="N17" i="14" a="1"/>
  <c r="N17" i="14" s="1"/>
  <c r="N19" i="14" a="1"/>
  <c r="N19" i="14" s="1"/>
  <c r="N20" i="14" a="1"/>
  <c r="N20" i="14" s="1"/>
  <c r="N21" i="14" a="1"/>
  <c r="N21" i="14" s="1"/>
  <c r="N22" i="14" a="1"/>
  <c r="N22" i="14" s="1"/>
  <c r="N23" i="14" a="1"/>
  <c r="N23" i="14" s="1"/>
  <c r="N24" i="14" a="1"/>
  <c r="N24" i="14" s="1"/>
  <c r="N25" i="14" a="1"/>
  <c r="N25" i="14" s="1"/>
  <c r="N26" i="14" a="1"/>
  <c r="N26" i="14" s="1"/>
  <c r="N27" i="14" a="1"/>
  <c r="N27" i="14" s="1"/>
  <c r="N28" i="14" a="1"/>
  <c r="N28" i="14" s="1"/>
  <c r="N29" i="14" a="1"/>
  <c r="N29" i="14" s="1"/>
  <c r="N30" i="14" a="1"/>
  <c r="N30" i="14" s="1"/>
  <c r="N31" i="14" a="1"/>
  <c r="N31" i="14" s="1"/>
  <c r="N32" i="14" a="1"/>
  <c r="N32" i="14" s="1"/>
  <c r="N33" i="14" a="1"/>
  <c r="N33" i="14" s="1"/>
  <c r="N34" i="14" a="1"/>
  <c r="N34" i="14" s="1"/>
  <c r="N35" i="14" a="1"/>
  <c r="N35" i="14" s="1"/>
  <c r="N36" i="14" a="1"/>
  <c r="N36" i="14" s="1"/>
  <c r="N37" i="14" a="1"/>
  <c r="N37" i="14" s="1"/>
  <c r="N38" i="14" a="1"/>
  <c r="N38" i="14" s="1"/>
  <c r="N39" i="14" a="1"/>
  <c r="N39" i="14" s="1"/>
  <c r="N40" i="14" a="1"/>
  <c r="N40" i="14" s="1"/>
  <c r="N41" i="14" a="1"/>
  <c r="N41" i="14" s="1"/>
  <c r="N42" i="14" a="1"/>
  <c r="N42" i="14" s="1"/>
  <c r="N43" i="14" a="1"/>
  <c r="N43" i="14" s="1"/>
  <c r="N44" i="14" a="1"/>
  <c r="N44" i="14" s="1"/>
  <c r="N45" i="14" a="1"/>
  <c r="N45" i="14" s="1"/>
  <c r="N46" i="14" a="1"/>
  <c r="N46" i="14" s="1"/>
  <c r="N47" i="14" a="1"/>
  <c r="N47" i="14" s="1"/>
  <c r="N48" i="14" a="1"/>
  <c r="N48" i="14" s="1"/>
  <c r="N49" i="14" a="1"/>
  <c r="N49" i="14" s="1"/>
  <c r="N50" i="14" a="1"/>
  <c r="N50" i="14" s="1"/>
  <c r="N51" i="14" a="1"/>
  <c r="N51" i="14" s="1"/>
  <c r="N52" i="14" a="1"/>
  <c r="N52" i="14" s="1"/>
  <c r="N53" i="14" a="1"/>
  <c r="N53" i="14" s="1"/>
  <c r="N54" i="14" a="1"/>
  <c r="N54" i="14" s="1"/>
  <c r="N55" i="14" a="1"/>
  <c r="N55" i="14" s="1"/>
  <c r="N56" i="14" a="1"/>
  <c r="N56" i="14" s="1"/>
  <c r="N57" i="14" a="1"/>
  <c r="N57" i="14" s="1"/>
  <c r="N58" i="14" a="1"/>
  <c r="N58" i="14" s="1"/>
  <c r="N59" i="14" a="1"/>
  <c r="N59" i="14" s="1"/>
  <c r="N60" i="14" a="1"/>
  <c r="N60" i="14" s="1"/>
  <c r="N61" i="14" a="1"/>
  <c r="N61" i="14" s="1"/>
  <c r="N62" i="14" a="1"/>
  <c r="N62" i="14" s="1"/>
  <c r="N63" i="14" a="1"/>
  <c r="N63" i="14" s="1"/>
  <c r="N64" i="14" a="1"/>
  <c r="N64" i="14" s="1"/>
  <c r="N65" i="14" a="1"/>
  <c r="N65" i="14" s="1"/>
  <c r="N66" i="14" a="1"/>
  <c r="N66" i="14" s="1"/>
  <c r="N67" i="14" a="1"/>
  <c r="N67" i="14" s="1"/>
  <c r="N68" i="14" a="1"/>
  <c r="N68" i="14" s="1"/>
  <c r="N69" i="14" a="1"/>
  <c r="N69" i="14" s="1"/>
  <c r="N70" i="14" a="1"/>
  <c r="N70" i="14" s="1"/>
  <c r="N71" i="14" a="1"/>
  <c r="N71" i="14" s="1"/>
  <c r="N72" i="14" a="1"/>
  <c r="N72" i="14" s="1"/>
  <c r="N73" i="14" a="1"/>
  <c r="N73" i="14" s="1"/>
  <c r="N74" i="14" a="1"/>
  <c r="N74" i="14" s="1"/>
  <c r="N75" i="14" a="1"/>
  <c r="N75" i="14" s="1"/>
  <c r="N76" i="14" a="1"/>
  <c r="N76" i="14" s="1"/>
  <c r="N77" i="14" a="1"/>
  <c r="N77" i="14" s="1"/>
  <c r="N78" i="14" a="1"/>
  <c r="N78" i="14" s="1"/>
  <c r="N79" i="14" a="1"/>
  <c r="N79" i="14" s="1"/>
  <c r="N80" i="14" a="1"/>
  <c r="N80" i="14" s="1"/>
  <c r="N81" i="14" a="1"/>
  <c r="N81" i="14" s="1"/>
  <c r="N82" i="14" a="1"/>
  <c r="N82" i="14" s="1"/>
  <c r="N83" i="14" a="1"/>
  <c r="N83" i="14" s="1"/>
  <c r="N84" i="14" a="1"/>
  <c r="N84" i="14" s="1"/>
  <c r="N85" i="14" a="1"/>
  <c r="N85" i="14" s="1"/>
  <c r="N86" i="14" a="1"/>
  <c r="N86" i="14" s="1"/>
  <c r="N87" i="14" a="1"/>
  <c r="N87" i="14" s="1"/>
  <c r="N88" i="14" a="1"/>
  <c r="N88" i="14" s="1"/>
  <c r="N89" i="14" a="1"/>
  <c r="N89" i="14" s="1"/>
  <c r="N90" i="14" a="1"/>
  <c r="N90" i="14" s="1"/>
  <c r="N91" i="14" a="1"/>
  <c r="N91" i="14" s="1"/>
  <c r="N92" i="14" a="1"/>
  <c r="N92" i="14" s="1"/>
  <c r="N93" i="14" a="1"/>
  <c r="N93" i="14" s="1"/>
  <c r="N94" i="14" a="1"/>
  <c r="N94" i="14" s="1"/>
  <c r="N95" i="14" a="1"/>
  <c r="N95" i="14" s="1"/>
  <c r="N96" i="14" a="1"/>
  <c r="N96" i="14" s="1"/>
  <c r="N97" i="14" a="1"/>
  <c r="N97" i="14" s="1"/>
  <c r="N98" i="14" a="1"/>
  <c r="N98" i="14" s="1"/>
  <c r="N99" i="14" a="1"/>
  <c r="N99" i="14" s="1"/>
  <c r="N100" i="14" a="1"/>
  <c r="N100" i="14" s="1"/>
  <c r="N101" i="14" a="1"/>
  <c r="N101" i="14" s="1"/>
  <c r="N102" i="14" a="1"/>
  <c r="N102" i="14" s="1"/>
  <c r="N103" i="14" a="1"/>
  <c r="N103" i="14" s="1"/>
  <c r="N104" i="14" a="1"/>
  <c r="N104" i="14" s="1"/>
  <c r="N105" i="14" a="1"/>
  <c r="N105" i="14" s="1"/>
  <c r="N106" i="14" a="1"/>
  <c r="N106" i="14" s="1"/>
  <c r="N107" i="14" a="1"/>
  <c r="N107" i="14" s="1"/>
  <c r="N108" i="14" a="1"/>
  <c r="N108" i="14" s="1"/>
  <c r="N109" i="14" a="1"/>
  <c r="N109" i="14" s="1"/>
  <c r="N110" i="14" a="1"/>
  <c r="N110" i="14" s="1"/>
  <c r="N111" i="14" a="1"/>
  <c r="N111" i="14" s="1"/>
  <c r="N112" i="14" a="1"/>
  <c r="N112" i="14" s="1"/>
  <c r="N113" i="14" a="1"/>
  <c r="N113" i="14" s="1"/>
  <c r="N114" i="14" a="1"/>
  <c r="N114" i="14" s="1"/>
  <c r="N115" i="14" a="1"/>
  <c r="N115" i="14" s="1"/>
  <c r="N116" i="14" a="1"/>
  <c r="N116" i="14" s="1"/>
  <c r="N117" i="14" a="1"/>
  <c r="N117" i="14" s="1"/>
  <c r="N118" i="14" a="1"/>
  <c r="N118" i="14" s="1"/>
  <c r="N119" i="14" a="1"/>
  <c r="N119" i="14" s="1"/>
  <c r="N120" i="14" a="1"/>
  <c r="N120" i="14" s="1"/>
  <c r="N121" i="14" a="1"/>
  <c r="N121" i="14" s="1"/>
  <c r="N122" i="14" a="1"/>
  <c r="N122" i="14" s="1"/>
  <c r="N123" i="14" a="1"/>
  <c r="N123" i="14" s="1"/>
  <c r="N124" i="14" a="1"/>
  <c r="N124" i="14" s="1"/>
  <c r="N125" i="14" a="1"/>
  <c r="N125" i="14" s="1"/>
  <c r="N126" i="14" a="1"/>
  <c r="N126" i="14" s="1"/>
  <c r="N127" i="14" a="1"/>
  <c r="N127" i="14" s="1"/>
  <c r="N128" i="14" a="1"/>
  <c r="N128" i="14" s="1"/>
  <c r="N129" i="14" a="1"/>
  <c r="N129" i="14" s="1"/>
  <c r="N130" i="14" a="1"/>
  <c r="N130" i="14" s="1"/>
  <c r="N131" i="14" a="1"/>
  <c r="N131" i="14" s="1"/>
  <c r="N132" i="14" a="1"/>
  <c r="N132" i="14" s="1"/>
  <c r="N133" i="14" a="1"/>
  <c r="N133" i="14" s="1"/>
  <c r="N134" i="14" a="1"/>
  <c r="N134" i="14" s="1"/>
  <c r="N135" i="14" a="1"/>
  <c r="N135" i="14" s="1"/>
  <c r="N136" i="14" a="1"/>
  <c r="N136" i="14" s="1"/>
  <c r="N137" i="14" a="1"/>
  <c r="N137" i="14" s="1"/>
  <c r="N138" i="14" a="1"/>
  <c r="N138" i="14" s="1"/>
  <c r="N139" i="14" a="1"/>
  <c r="N139" i="14" s="1"/>
  <c r="N140" i="14" a="1"/>
  <c r="N140" i="14" s="1"/>
  <c r="N141" i="14" a="1"/>
  <c r="N141" i="14" s="1"/>
  <c r="N142" i="14" a="1"/>
  <c r="N142" i="14" s="1"/>
  <c r="N143" i="14" a="1"/>
  <c r="N143" i="14" s="1"/>
  <c r="N144" i="14" a="1"/>
  <c r="N144" i="14" s="1"/>
  <c r="N145" i="14" a="1"/>
  <c r="N145" i="14" s="1"/>
  <c r="N146" i="14" a="1"/>
  <c r="N146" i="14" s="1"/>
  <c r="N147" i="14" a="1"/>
  <c r="N147" i="14" s="1"/>
  <c r="N148" i="14" a="1"/>
  <c r="N148" i="14" s="1"/>
  <c r="N149" i="14" a="1"/>
  <c r="N149" i="14" s="1"/>
  <c r="N150" i="14" a="1"/>
  <c r="N150" i="14" s="1"/>
  <c r="N151" i="14" a="1"/>
  <c r="N151" i="14" s="1"/>
  <c r="N152" i="14" a="1"/>
  <c r="N152" i="14" s="1"/>
  <c r="N153" i="14" a="1"/>
  <c r="N153" i="14" s="1"/>
  <c r="N154" i="14" a="1"/>
  <c r="N154" i="14" s="1"/>
  <c r="N155" i="14" a="1"/>
  <c r="N155" i="14" s="1"/>
  <c r="N156" i="14" a="1"/>
  <c r="N156" i="14" s="1"/>
  <c r="N157" i="14" a="1"/>
  <c r="N157" i="14" s="1"/>
  <c r="N158" i="14" a="1"/>
  <c r="N158" i="14" s="1"/>
  <c r="N159" i="14" a="1"/>
  <c r="N159" i="14" s="1"/>
  <c r="N160" i="14" a="1"/>
  <c r="N160" i="14" s="1"/>
  <c r="N161" i="14" a="1"/>
  <c r="N161" i="14" s="1"/>
  <c r="C3" i="14"/>
  <c r="C21" i="14"/>
  <c r="C2" i="14"/>
  <c r="C4" i="14"/>
  <c r="C5" i="14"/>
  <c r="C6" i="14"/>
  <c r="C7" i="14"/>
  <c r="C8" i="14"/>
  <c r="C9" i="14"/>
  <c r="C10" i="14"/>
  <c r="C11" i="14"/>
  <c r="C12" i="14"/>
  <c r="C13" i="14"/>
  <c r="C14" i="14"/>
  <c r="C15" i="14"/>
  <c r="C16" i="14"/>
  <c r="C17" i="14"/>
  <c r="C18" i="14"/>
  <c r="C19" i="14"/>
  <c r="C20" i="14"/>
  <c r="C22" i="14"/>
  <c r="C23" i="14"/>
  <c r="C24" i="14"/>
  <c r="C25" i="14"/>
  <c r="C26" i="14"/>
  <c r="C27" i="14"/>
  <c r="C28" i="14"/>
  <c r="C29" i="14"/>
  <c r="C30" i="14"/>
  <c r="C31" i="14"/>
  <c r="C32" i="14"/>
  <c r="C33" i="14"/>
  <c r="C34" i="14"/>
  <c r="C35" i="14"/>
  <c r="C36" i="14"/>
  <c r="C37" i="14"/>
  <c r="C38" i="14"/>
  <c r="C39"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90" i="22" l="1" a="1"/>
  <c r="C190" i="22" s="1"/>
  <c r="A190" i="22" a="1"/>
  <c r="A190" i="22" s="1"/>
  <c r="G190" i="22" a="1"/>
  <c r="G190" i="22" s="1"/>
  <c r="F190" i="22" a="1"/>
  <c r="F190" i="22" s="1"/>
  <c r="A217" i="22" a="1"/>
  <c r="A217" i="22" s="1"/>
  <c r="G217" i="22" a="1"/>
  <c r="G217" i="22" s="1"/>
  <c r="C217" i="22" a="1"/>
  <c r="C217" i="22" s="1"/>
  <c r="F217" i="22" a="1"/>
  <c r="F217" i="22" s="1"/>
  <c r="A5" i="18"/>
  <c r="A7" i="18" s="1"/>
  <c r="A9" i="18" s="1"/>
  <c r="A11" i="18" s="1"/>
  <c r="A13" i="18" s="1"/>
  <c r="A15" i="18" s="1"/>
  <c r="A20" i="18" l="1"/>
  <c r="B1" i="19" a="1"/>
  <c r="A22" i="18" l="1"/>
  <c r="A24" i="18" s="1"/>
  <c r="A26" i="18" s="1"/>
  <c r="A28" i="18" s="1"/>
  <c r="A30" i="18" s="1"/>
  <c r="A32" i="18" s="1"/>
  <c r="A34" i="18" s="1"/>
  <c r="A36" i="18" s="1"/>
  <c r="A38" i="18" s="1"/>
  <c r="A40" i="18" s="1"/>
  <c r="A42" i="18" s="1"/>
  <c r="A44" i="18" s="1"/>
  <c r="A46" i="18" s="1"/>
  <c r="B1" i="19"/>
  <c r="E2" i="19" a="1"/>
  <c r="E2" i="19" s="1"/>
  <c r="P2" i="19" a="1"/>
  <c r="P2" i="19" s="1"/>
  <c r="H2" i="19" a="1"/>
  <c r="H2" i="19" s="1"/>
  <c r="I2" i="19" a="1"/>
  <c r="I2" i="19" s="1"/>
  <c r="O2" i="19" a="1"/>
  <c r="O2" i="19" s="1"/>
  <c r="G2" i="19" a="1"/>
  <c r="G2" i="19" s="1"/>
  <c r="Q2" i="19" a="1"/>
  <c r="Q2" i="19" s="1"/>
  <c r="N2" i="19" a="1"/>
  <c r="N2" i="19" s="1"/>
  <c r="F2" i="19" a="1"/>
  <c r="F2" i="19" s="1"/>
  <c r="M2" i="19" a="1"/>
  <c r="M2" i="19" s="1"/>
  <c r="J2" i="19" a="1"/>
  <c r="J2" i="19" s="1"/>
  <c r="T2" i="19" a="1"/>
  <c r="T2" i="19" s="1"/>
  <c r="L2" i="19" a="1"/>
  <c r="L2" i="19" s="1"/>
  <c r="D2" i="19" a="1"/>
  <c r="D2" i="19" s="1"/>
  <c r="R2" i="19" a="1"/>
  <c r="R2" i="19" s="1"/>
  <c r="S2" i="19" a="1"/>
  <c r="S2" i="19" s="1"/>
  <c r="K2" i="19" a="1"/>
  <c r="K2" i="19" s="1"/>
  <c r="C2" i="19" a="1"/>
  <c r="C2" i="19" s="1"/>
  <c r="B2" i="19" l="1" a="1"/>
  <c r="B2" i="1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<sst xmlns="http://schemas.openxmlformats.org/spreadsheetml/2006/main" count="3421" uniqueCount="604">
  <si>
    <t>Famille Fidji ACT</t>
  </si>
  <si>
    <t>Origine budget</t>
  </si>
  <si>
    <t>Oui</t>
  </si>
  <si>
    <t>Famille</t>
  </si>
  <si>
    <t>1- Enveloppe bâtiment</t>
  </si>
  <si>
    <t>Isoler par l'extérieur (ITE) les façades</t>
  </si>
  <si>
    <t>Isoler par l'extérieur (ITE) la toiture</t>
  </si>
  <si>
    <t xml:space="preserve">Installer une toiture végétalisée </t>
  </si>
  <si>
    <t>Végétaliser une façade</t>
  </si>
  <si>
    <t>Appliquer peinture anti-chaleur sur toiture</t>
  </si>
  <si>
    <t>Isoler par l'intérieur (ITI)</t>
  </si>
  <si>
    <t>Protéger du soleil la façade / les menuiseries (brise-soleil, store, films solaires, arbres,…)</t>
  </si>
  <si>
    <t>Remplacer menuiseries extérieures par modèle plus performant sur le plan énergétique</t>
  </si>
  <si>
    <t>Isoler le plancher bas en contact avec un vide sanitaire ou un terre-plein</t>
  </si>
  <si>
    <t>Isoler le plancher haut (combles ou terrasse)</t>
  </si>
  <si>
    <t>Remplacer façade existante (mur-rideau, ...) par solution écoénergétique</t>
  </si>
  <si>
    <t>Autre action sur l’enveloppe</t>
  </si>
  <si>
    <t>2- Eclairage</t>
  </si>
  <si>
    <t>Graduer l’éclairage intérieur / extérieur en fonction des apports de lumière du jour</t>
  </si>
  <si>
    <t>Optimiser l’apport d’éclairage naturel (créer puit de lumière, changer menuiseries, vitrages)</t>
  </si>
  <si>
    <t>Moderniser l’éclairage avec des sources lumineuses économes en énergie</t>
  </si>
  <si>
    <t>Eteindre les écrans de publicité &amp; les enseignes lumineuses la nuit le plus tôt possible</t>
  </si>
  <si>
    <t>Installer un système de commande de l’éclairage </t>
  </si>
  <si>
    <t>Piloter l'éclairage depuis le système d'automatisation et de contrôle du bâtiment (BACS)</t>
  </si>
  <si>
    <t>Autre action sur l’éclairage</t>
  </si>
  <si>
    <t>3- Réglage CVC</t>
  </si>
  <si>
    <t>Réduire la saison de chauffe (retarder le début et avancer la fin)</t>
  </si>
  <si>
    <t>Baisser t° chauffage quand site inoccupé sur courte durée (par ex. 16°C nuit &amp; WE)</t>
  </si>
  <si>
    <t>Mettre le bâtiment hors-gel (7°C) lorsqu'inoccupé pendant plus de 3 jours</t>
  </si>
  <si>
    <t>Optimiser t° consigne climatisation et diminuer t° chauffage suivant réglementation</t>
  </si>
  <si>
    <t>Adapter t° aux besoins, par ex. à l’aide de thermostats / détection / zonage</t>
  </si>
  <si>
    <t>Asservir apport air neuf au taux d’occupation (sauf pièces humides)</t>
  </si>
  <si>
    <t>Prioriser mode chauffage PAC sur équipement hybride PAC – gaz</t>
  </si>
  <si>
    <t>Décaler horaire remise en chauffe pour éviter appel de Puissance en heure de pointe</t>
  </si>
  <si>
    <t xml:space="preserve">Couper l'alimentation des équipements non utilisés sur une période prolongée </t>
  </si>
  <si>
    <t>Vérifier réglage HP BP flottante sur centrale eau glacée</t>
  </si>
  <si>
    <t>Vérifier réglage freecooling</t>
  </si>
  <si>
    <t>Vérifier réglage des lois d’eau</t>
  </si>
  <si>
    <t>Autre action réglage CVC</t>
  </si>
  <si>
    <t>4- Maintenance CVC</t>
  </si>
  <si>
    <t>Mettre en place un protocole de maintenance de tous les équipements CVC</t>
  </si>
  <si>
    <t>Mettre en place un monitoring des indicateurs de performance de l’installation CVC</t>
  </si>
  <si>
    <t>Vérifier régulièrement état des pompes de circulation chauffage &amp; eau glacée</t>
  </si>
  <si>
    <t>Contrôler régulièrement l’eau des réseaux hydrauliques et traiter au besoin</t>
  </si>
  <si>
    <t>Désembouer réseau hydraulique / installer filtres anti-boues</t>
  </si>
  <si>
    <t>Installer / remplacer des filtres à air performants, adaptés au besoin</t>
  </si>
  <si>
    <t xml:space="preserve">Autre action maintenance CVC </t>
  </si>
  <si>
    <t>Remplacer équipement énergivore et/ou en fin de vie en adaptant la puissance installée</t>
  </si>
  <si>
    <t>Installer nouvel équipement performant du point de vue énergétique &amp; environnemental</t>
  </si>
  <si>
    <t>Isoler canalisations de chauffage / eau glacée</t>
  </si>
  <si>
    <t>Installer régulateur de cascade sur une installation comprenant plusieurs chaudières</t>
  </si>
  <si>
    <t>Installer modules d'équilibrage automatique du réseau</t>
  </si>
  <si>
    <t>Installer VMC double flux</t>
  </si>
  <si>
    <t>Installer des sondes CO2 pour moduler le débit de la ventilation en f° de l’occupation</t>
  </si>
  <si>
    <t>Mettre en place une récupération de chaleur issue de l’air extrait ou d’un process </t>
  </si>
  <si>
    <t>Installer déstratificateur dans locaux chauffés avec grande hauteur sous plafond</t>
  </si>
  <si>
    <t>Mettre en place un système de freecooling</t>
  </si>
  <si>
    <t>Raccorder le bâtiment à un réseau urbain de chaleur ou de froid</t>
  </si>
  <si>
    <t xml:space="preserve">Mettre en place le pilotage du CVC via une GTB </t>
  </si>
  <si>
    <t>Autre travaux CVC</t>
  </si>
  <si>
    <t>6- EnR / Abandon énergies fossiles</t>
  </si>
  <si>
    <t>Remplacer chauffage gaz / fioul par pompe(s) à chaleur</t>
  </si>
  <si>
    <t>Remplacer chauffage gaz / fioul par chaudière biomasse</t>
  </si>
  <si>
    <t>Remplacer chauffage gaz / fioul par raccordement réseau de chaleur</t>
  </si>
  <si>
    <t>Tendre vers l’abandon du gaz sur site déjà équipé d’appareils hybrides PAC-gaz</t>
  </si>
  <si>
    <t>Installer EnR : photovoltaïque / solaire thermique / éolienne / géothermie / …</t>
  </si>
  <si>
    <t>Installer / maintenir unités stockage d’énergie thermique / électrique</t>
  </si>
  <si>
    <t>Installer et maintenir une micro-installation de cogénération</t>
  </si>
  <si>
    <t>Autre action EnR / abandon gaz &amp; fioul</t>
  </si>
  <si>
    <t>7- Eau chaude sanitaire</t>
  </si>
  <si>
    <t>Optimiser la production d’ECS en f° des besoins et adapter l’installation si nécessaire</t>
  </si>
  <si>
    <t xml:space="preserve">Arrêter la production d’eau chaude, sauf cas indispensable </t>
  </si>
  <si>
    <t xml:space="preserve">Isoler ballon ECS, réseau ECS et points singuliers (échangeurs, vannes 3 voies, …) </t>
  </si>
  <si>
    <t>Récupérer énergie sur eaux grises ou air extrait pour préchauffage ECS</t>
  </si>
  <si>
    <t>Installer système ECS solaire</t>
  </si>
  <si>
    <t>Installer système ECS thermodynamique</t>
  </si>
  <si>
    <t>Autres Réglage / travaux ECS</t>
  </si>
  <si>
    <t>Cartographier les compteurs / sous-compteurs énergie</t>
  </si>
  <si>
    <t>Mettre en place télérelève / système de management de l'énergie</t>
  </si>
  <si>
    <t>Installer ou remplacer des sous-compteurs énergie</t>
  </si>
  <si>
    <t>Cartographier les compteurs / sous-compteurs eau</t>
  </si>
  <si>
    <t xml:space="preserve">Mettre en place télérelève / système de management de l’eau </t>
  </si>
  <si>
    <t>Installer ou remplacer des sous-compteurs eau</t>
  </si>
  <si>
    <t>Autre action comptage suivi</t>
  </si>
  <si>
    <t>9- BACS / gtb</t>
  </si>
  <si>
    <t xml:space="preserve">Installer / moderniser une GTB avec une classe C a minima selon norme ISO 52120-1:2022 </t>
  </si>
  <si>
    <t>Inspecter régulièrement le bon fonctionnement de la GTB et optimiser son paramétrage</t>
  </si>
  <si>
    <t>S’assurer que la GTB intègre un suivi avec historisation des consommations énergétiques</t>
  </si>
  <si>
    <t>Mettre en place un plan de formation sur l’utilisation des équipements connectés à la GTB</t>
  </si>
  <si>
    <t>Mettre en place / tenir à jour le carnet de GTB incluant l’analyse fonctionnelle</t>
  </si>
  <si>
    <t>Vérifier mise à jour des logiciels GTB (sécurité, efficacité énergétique…)</t>
  </si>
  <si>
    <t>Raccorder au BACS les équipements énergivores, y compris ascenseurs, cuisines, IRVE</t>
  </si>
  <si>
    <t>Connecter le BACS à un dispositif de flexibilité du réseau électrique</t>
  </si>
  <si>
    <t>Connecter le BACS à la météo et l’activité prévisionnelle du site pour anticiper les besoins </t>
  </si>
  <si>
    <t>Autre action BACS / GTB</t>
  </si>
  <si>
    <t>10- Froid alimentaire</t>
  </si>
  <si>
    <t>Maximiser remplissage des meubles réfrigérés</t>
  </si>
  <si>
    <t>Vérifier bon réglage HP BP flottante centrale froid positif ou négatif</t>
  </si>
  <si>
    <t>Remplacer meubles froid alimentaire en fin de vie</t>
  </si>
  <si>
    <t>Remplacer centrale froid alimentaire en fin de vie</t>
  </si>
  <si>
    <t>Retrofit fluide frigorigène installation froid positif ou négatif</t>
  </si>
  <si>
    <t>Remplacer / Améliorer la GTC froid alimentaire</t>
  </si>
  <si>
    <t>Installer portes performantes sur meubles frigorifiques</t>
  </si>
  <si>
    <t>Récupérer les calories frigo pour un autre usage (ECS, préchauffage, …)</t>
  </si>
  <si>
    <t>Autre action froid alimentaire</t>
  </si>
  <si>
    <t>11- Organisation / communication</t>
  </si>
  <si>
    <t>Veiller à la fermeture des portes / ouvrants des zones chauffées ou climatisées</t>
  </si>
  <si>
    <t>Planifier regroupement des personnes présentes sur site dans zones prédéfinies</t>
  </si>
  <si>
    <t>Organiser l’occupation des espaces du site pour limiter les besoins de chaleur / climatisation</t>
  </si>
  <si>
    <t>Mettre en sommeil tout ou partie du site en définissant des plages de fermeture</t>
  </si>
  <si>
    <t>Animer un comité avec toutes les parties prenantes pour définir et suivre un plan d’action</t>
  </si>
  <si>
    <t>Désigner 1 référent - ou 1 équipe pluridisciplinaire - en charge du plan d’action</t>
  </si>
  <si>
    <t>Communiquer sur nouveaux réglages afin d’en favoriser l’acceptation et motiver les efforts</t>
  </si>
  <si>
    <t>Rendre ludique l’effort commun, par exemple sous forme de jeu participatif</t>
  </si>
  <si>
    <t>Sensibiliser aux écogestes, notamment pour réduire appels de P. en période tension réseau</t>
  </si>
  <si>
    <t>Autre action organisation / communication</t>
  </si>
  <si>
    <t>12- Achats responsables</t>
  </si>
  <si>
    <t>Augmenter le % EnR garantie d’origine dans le contrat fourniture énergie</t>
  </si>
  <si>
    <t>Recourir aux PPA dans la stratégie d'achat pour inciter aux développements des EnR</t>
  </si>
  <si>
    <t>Intégrer l’obtention de Certificats d’Economie d’Energie dans la démarche d’achat</t>
  </si>
  <si>
    <t>Privilégier achats à faible impact en intégrant durée de vie, TCO, externalité positive</t>
  </si>
  <si>
    <r>
      <t>Inciter les achats à favoriser le réemploi, notamment sur les matériaux de 2</t>
    </r>
    <r>
      <rPr>
        <vertAlign val="superscript"/>
        <sz val="13"/>
        <color rgb="FFFFFFFF"/>
        <rFont val="Calibri Light"/>
        <family val="2"/>
      </rPr>
      <t>nd</t>
    </r>
    <r>
      <rPr>
        <sz val="13"/>
        <color rgb="FFFFFFFF"/>
        <rFont val="Calibri Light"/>
        <family val="2"/>
      </rPr>
      <t xml:space="preserve"> œuvre </t>
    </r>
  </si>
  <si>
    <t>Mettre en place au sein de l’entreprise une charte d’achat responsable</t>
  </si>
  <si>
    <t>Autre action sur les achats responsables</t>
  </si>
  <si>
    <t>13- Eau</t>
  </si>
  <si>
    <t>Systématiser recherche de fuite et être réactif suite à détection de fuite</t>
  </si>
  <si>
    <t>Raccorder les organes de pilotage de la distribution d’eau à la GTB</t>
  </si>
  <si>
    <t>Mettre en place une collecte des eaux grises pour les réutiliser</t>
  </si>
  <si>
    <t>Installer un récupérateur d'eaux pluviales</t>
  </si>
  <si>
    <t>Réinjecter les eaux de pluie dans les usages le permettant</t>
  </si>
  <si>
    <t>Mettre en place équipements hydro-économes</t>
  </si>
  <si>
    <t xml:space="preserve">Autre action sur les consommations d’eau </t>
  </si>
  <si>
    <t>14- Numérique</t>
  </si>
  <si>
    <t>Réaliser un audit énergétique des équipements IT sur site</t>
  </si>
  <si>
    <t>Paramétrer mise en veille / extinction automatique  des systèmes</t>
  </si>
  <si>
    <t>Mettre en place une coupure centralisée des équipements bureautique</t>
  </si>
  <si>
    <t>Se concerter avec l'IT pour ajuster t° consigne clim. salle serveur au max. acceptable</t>
  </si>
  <si>
    <t>Prôner la sobriété numérique quant aux flux (vidéo, pièces jointes email, …)</t>
  </si>
  <si>
    <t>Prôner la sobriété numérique quant aux données stockées</t>
  </si>
  <si>
    <t>Réduire temps d’utilisation &amp; luminosité écrans dans espaces communs, yc ascenseur</t>
  </si>
  <si>
    <t>Récupérer l’énergie produite par les serveurs (préchauffage eau, …)</t>
  </si>
  <si>
    <t>Opter pour prestataire d’hébergement signataire du code européen des datacenters</t>
  </si>
  <si>
    <t>Autre action sur le numérique</t>
  </si>
  <si>
    <t>15- Biodiversité</t>
  </si>
  <si>
    <t>Effectuer un diagnostic biodiversité du site en intégrant un référentiel harmonisé tel que CBSh ou GBS</t>
  </si>
  <si>
    <t>Formaliser un plan d’action pour gérer la biodiversité sur le site</t>
  </si>
  <si>
    <t>Mettre en place un traitement raisonné des espaces verts, respectueux de la biodiversité</t>
  </si>
  <si>
    <t>Installer des abris pour la faune sur les espaces extérieurs et sur le bâti</t>
  </si>
  <si>
    <t>Végétaliser les espaces en pleine terre en privilégiant les essences indigènes autonomes en eau</t>
  </si>
  <si>
    <t>Renaturer les espaces extérieurs artificialisés : parkings, cours de service, parvis, pieds de murs, …</t>
  </si>
  <si>
    <t>Installer de la végétation hors sol quand la végétalisation pleine terre n'est pas possible</t>
  </si>
  <si>
    <t>Mettre en place de l’éco-pâturage</t>
  </si>
  <si>
    <t>Rendre les espaces verts accessibles et ludiques pour les utilisateurs du site</t>
  </si>
  <si>
    <t>Communiquer sur les actions en faveur de la biodiversité</t>
  </si>
  <si>
    <t>Autre action sur la biodiversité</t>
  </si>
  <si>
    <t>16- Mobilité</t>
  </si>
  <si>
    <t>Elaborer un plan de mobilité douce du site pour réduire les émissions liées au trafic routier</t>
  </si>
  <si>
    <t>Adapter le site aux utilisateurs de vélo (locaux &amp; accès sécurisés, douches, réparation…)</t>
  </si>
  <si>
    <t>Mettre à disposition des collaborateurs des solutions de mobilité douce à tarif préférentiel</t>
  </si>
  <si>
    <t>Inciter financièrement les collaborateurs du site à limiter leurs déplacements en voiture</t>
  </si>
  <si>
    <t>Installer / maintenir des IRVE (Installation Recharge Véhicules Electriques)</t>
  </si>
  <si>
    <t>Mettre en œuvre  des solutions d’autopartage</t>
  </si>
  <si>
    <t>Communiquer sur le plan de mobilité</t>
  </si>
  <si>
    <t>Autre action sur la mobilité</t>
  </si>
  <si>
    <t>17- Réduction &amp; gestion des déchets</t>
  </si>
  <si>
    <t>Réaliser un audit pour identifier les types de déchets et les exutoires disponibles</t>
  </si>
  <si>
    <t>Suivre ratio d’intensité déchets du site - par ex. kg/occupant ou kg/m2 - et communiquer</t>
  </si>
  <si>
    <t>Organiser traitement de certains déchets in situ pour limiter le % envoyé en décharge</t>
  </si>
  <si>
    <t>Sensibiliser les utilisateurs du site à la limitation de production de déchets et au recyclage</t>
  </si>
  <si>
    <t>Inciter financièrement les utilisateurs du site à réduire leurs déchets / à augmenter le tri</t>
  </si>
  <si>
    <t>Favoriser le réemploi, par exemple réemploi de mobilier lors d’un réaménagement de bureaux</t>
  </si>
  <si>
    <t xml:space="preserve">Organiser l’utilisation systématique de contenants &amp; couverts réutilisables </t>
  </si>
  <si>
    <t>Autre action sur la réduction et la gestion des déchets</t>
  </si>
  <si>
    <t>18- Adaptation au risque climatique</t>
  </si>
  <si>
    <t>Réaliser une étude globale d'exposition aux risques climatiques, sans visite sur site</t>
  </si>
  <si>
    <t>Réaliser un audit sur site de résilience de l’actif (îlots de chaleur, inondation, …)</t>
  </si>
  <si>
    <t>Mettre en place un plan de résilience du bâtiment et de continuité de l’activité</t>
  </si>
  <si>
    <t>Perméabiliser tout ou partie des surfaces de parking</t>
  </si>
  <si>
    <t>Créer espace ombragé sur zones piétons &amp; parking (arbres, ombrière végétale ou PV, …)</t>
  </si>
  <si>
    <t xml:space="preserve"> Créer ou améliorer les noues</t>
  </si>
  <si>
    <t xml:space="preserve"> Créer ou améliorer les bassins de rétention</t>
  </si>
  <si>
    <t>Effectuer diagnostic gestion de l’eau à la parcelle &amp; intensité de déconnexion au réseau</t>
  </si>
  <si>
    <t>Prévenir risque éventuel d’exposition aux feux de forêt (débroussaillage, pare-feux, …)</t>
  </si>
  <si>
    <t>Autre action adaptation risque climatique</t>
  </si>
  <si>
    <t>19- Autres actions environnementales</t>
  </si>
  <si>
    <t>Réaliser l’audit énergétique d’un site</t>
  </si>
  <si>
    <t>Etablir un bilan carbone du site</t>
  </si>
  <si>
    <t>Calculer le « payback carbone » d’un projet de rénovation</t>
  </si>
  <si>
    <t>Modéliser la trajectoire carbone 2050 du site, à l’aide d’un outil connecté au plan d’actions</t>
  </si>
  <si>
    <t>Suivre dans le temps le plan d'action du site au format Fidji ACT</t>
  </si>
  <si>
    <t>Mettre en place une base de connaissance des équipements du site</t>
  </si>
  <si>
    <t>Obtenir niveau élevé certification environnementale pour le bâtiment</t>
  </si>
  <si>
    <t>Obtenir niveau élevé certification environnementale pour la gestion du bâtiment</t>
  </si>
  <si>
    <t>Identifier et prévenir les risques à fort impact carbone (incendie, fuites fluides frigorigènes…)</t>
  </si>
  <si>
    <t>Mettre en place un Contrat de Performance Energétique « Service » et / ou « travaux »</t>
  </si>
  <si>
    <t>Autre action environnementale</t>
  </si>
  <si>
    <t>1_2_ITE_toiture</t>
  </si>
  <si>
    <t>1_3_vegetaliser_toiture</t>
  </si>
  <si>
    <t>1_4_vegetaliser_facade</t>
  </si>
  <si>
    <t>1_5_peinture_roof</t>
  </si>
  <si>
    <t>1_6_iti</t>
  </si>
  <si>
    <t>1_7_protection_soleil_menuiseries_facade</t>
  </si>
  <si>
    <t>1_8_remplacer_menuiseries_extérieures</t>
  </si>
  <si>
    <t>1_9_isoler_plancher_bas</t>
  </si>
  <si>
    <t>1_10_isoler_plancher_haut</t>
  </si>
  <si>
    <t>1_11_remplacer_facade_existante</t>
  </si>
  <si>
    <t>1_12_autre_action_enveloppe</t>
  </si>
  <si>
    <t>2_1_eteindre_quand_inoccupe</t>
  </si>
  <si>
    <t>2_2_graduer_eclairage</t>
  </si>
  <si>
    <t>2_3_reduire_eclairage_exterieur</t>
  </si>
  <si>
    <t>2_4_maximiser_eclairage_naturel</t>
  </si>
  <si>
    <t>2_5_moderniser_eclairage</t>
  </si>
  <si>
    <t>2_6_eteindre_pub_enseigne</t>
  </si>
  <si>
    <t>2_7_installer_systeme_commande</t>
  </si>
  <si>
    <t>2_8_raccorder_eclairage_BACS</t>
  </si>
  <si>
    <t>2_9_autre_action_eclairage</t>
  </si>
  <si>
    <t>3_1_reduire_saison_chauffe</t>
  </si>
  <si>
    <t>3_2_baisser_temp_nuit_we</t>
  </si>
  <si>
    <t>3_3_hors_gel</t>
  </si>
  <si>
    <t>3_4_clim_26_degres_chauffage_19</t>
  </si>
  <si>
    <t>3_5_regul_thermostat_detecteur</t>
  </si>
  <si>
    <t>3_6_ventilation_taux_occupation</t>
  </si>
  <si>
    <t>3_7_prioriser_mode_pac_hybride</t>
  </si>
  <si>
    <t>3_8_decaler_remise_chauffe</t>
  </si>
  <si>
    <t>3_9_couper_alim_si_non_utilise</t>
  </si>
  <si>
    <t>3_10_hp_bp_flottante</t>
  </si>
  <si>
    <t>3_11_freecooling</t>
  </si>
  <si>
    <t>3_12_loi_d_eau</t>
  </si>
  <si>
    <t>3_13_autre_reglage_cvc</t>
  </si>
  <si>
    <t>4_1_reviser_equipements_CVC</t>
  </si>
  <si>
    <t>4_2_monitoring_performance_cvc</t>
  </si>
  <si>
    <t>4_3_retro_commissionning_CVC</t>
  </si>
  <si>
    <t>4_4_verifier_pompe_boucle_eau</t>
  </si>
  <si>
    <t>4_5_controler_reseau_hydraulique</t>
  </si>
  <si>
    <t>4_6_desembouer_filtres_antiboues</t>
  </si>
  <si>
    <t>4_7_filtres_air</t>
  </si>
  <si>
    <t>4_8_autre_maintenance_CVC</t>
  </si>
  <si>
    <t>5_1_remplacement_equipement</t>
  </si>
  <si>
    <t>5_2_installation_nouvel_equipement</t>
  </si>
  <si>
    <t>5_3_isoler_reseau_chauffage_eg</t>
  </si>
  <si>
    <t>5_5_module_equilibrage_reseau</t>
  </si>
  <si>
    <t>5_6_vmc_double_flux</t>
  </si>
  <si>
    <t>5_7_regulation_sonde_CO2</t>
  </si>
  <si>
    <t>5_13_autres_travaux_CVC</t>
  </si>
  <si>
    <t>6_1_remplacer_chauffage_gaz_fioul_par_pac</t>
  </si>
  <si>
    <t>6_2_remplacer_chauffage_gaz_fioul_par_biomasse</t>
  </si>
  <si>
    <t>6_3_remplacer_par_reseau_chaleur</t>
  </si>
  <si>
    <t>6_4_privilégier_mode_pac_sur_hybride</t>
  </si>
  <si>
    <t>7_1_adapter_production_ECS_au_besoin</t>
  </si>
  <si>
    <t>8_1_cartographie_comptage_energie</t>
  </si>
  <si>
    <t>8_3_sous_compteurs_energie</t>
  </si>
  <si>
    <t>8_4_cartographie_compteurs_eau</t>
  </si>
  <si>
    <t>8_6_sous_compteurs_eau</t>
  </si>
  <si>
    <t>9_1_installer_moderniser_gtb</t>
  </si>
  <si>
    <t>10_1_remplissage_meuble_froid</t>
  </si>
  <si>
    <t>10_2_reglage_hp_bp_flottante_centrales</t>
  </si>
  <si>
    <t>10_3_remplacer_meubles_froid</t>
  </si>
  <si>
    <t>10_4_remplacer_centrales</t>
  </si>
  <si>
    <t>10_5_retrofit_fluide_frigorigene</t>
  </si>
  <si>
    <t>10_6_remplacer_gtc_froid_alimentaire</t>
  </si>
  <si>
    <t>10_7_installer_portes_meubles_froid</t>
  </si>
  <si>
    <t>10_8_recuperer_calories_frigo</t>
  </si>
  <si>
    <t>10_9_autre_action_froid_alimentaire</t>
  </si>
  <si>
    <t>11_1_fermeture_espaces_chauff_clim</t>
  </si>
  <si>
    <t>11_5_comite_plan_action</t>
  </si>
  <si>
    <t>11_6_designer_un_referent_par_site</t>
  </si>
  <si>
    <t>11_8_rendre_ludique_effort_commun</t>
  </si>
  <si>
    <t>11_9_sensibiliser_aux_ecogestes</t>
  </si>
  <si>
    <t>12_1_enr_garantie_origine</t>
  </si>
  <si>
    <t>12_2_power_purchase_agreement</t>
  </si>
  <si>
    <t>12_3_integrer_cee_dans_strategie_achat</t>
  </si>
  <si>
    <t>12_4_privilegier_achats_a_faible_impact</t>
  </si>
  <si>
    <t>12_5_favoriser_reemploi_dans_les_achats</t>
  </si>
  <si>
    <t>12_6_charte_achat_responsable</t>
  </si>
  <si>
    <t>12_7_autre_action_achats_responsables</t>
  </si>
  <si>
    <t>13_1_recherche_reactivite_fuite_eau</t>
  </si>
  <si>
    <t>14_2_mise_en_veille_extinction_automatique</t>
  </si>
  <si>
    <t>14_3_coupure_centralisee_bureautique</t>
  </si>
  <si>
    <t>14_4_temperature_clim_salle_serveur</t>
  </si>
  <si>
    <t>14_5_proner_sobriete_numerique_usages</t>
  </si>
  <si>
    <t>14_6_proner_sobriete_numerique_stockage</t>
  </si>
  <si>
    <t>14_7_reduire_temps_ecran_diffusion</t>
  </si>
  <si>
    <t>14_8_recuperer_energie_serveurs</t>
  </si>
  <si>
    <t>14_10_autre_action_numerique</t>
  </si>
  <si>
    <t>15_1_effectuer_diag_biodiversite</t>
  </si>
  <si>
    <t>15_2_plan_gestion_biodiversite</t>
  </si>
  <si>
    <t>15_3_traitement_espaces_verts</t>
  </si>
  <si>
    <t>15_4_installer_habitat_faune</t>
  </si>
  <si>
    <t>16_1_plan_mobilite_douce</t>
  </si>
  <si>
    <t>16_2_adapter_site_velo</t>
  </si>
  <si>
    <t>16_3_ solutions_mobilite_tarif_preferentiel</t>
  </si>
  <si>
    <t>16_4_incitation_limiter_deplacements</t>
  </si>
  <si>
    <t>16_5_installer_maintenir_irve</t>
  </si>
  <si>
    <t>16_6_solution_autopartage</t>
  </si>
  <si>
    <t>16_7_communiquer_plan_mobilite</t>
  </si>
  <si>
    <t>16_8_autre_action_mobilite</t>
  </si>
  <si>
    <t>17_1_realiser_audit_dechets</t>
  </si>
  <si>
    <t>17_2_suivre_ratio_dechets</t>
  </si>
  <si>
    <t>17_3_organiser_traitement_in_situ</t>
  </si>
  <si>
    <t>17_4_sensibiliser_recyclage</t>
  </si>
  <si>
    <t>17_5_bonus_reduction_dechets</t>
  </si>
  <si>
    <t>17_6_favoriser_reemploi</t>
  </si>
  <si>
    <t>17_7__contenants_couverts</t>
  </si>
  <si>
    <t>17_8_autre_reduction_gestion_dechets</t>
  </si>
  <si>
    <t>18_1_etude_a_distance_expo_risque</t>
  </si>
  <si>
    <t>18_2_audit_sur_site_resilience_risque</t>
  </si>
  <si>
    <t>19_1_realiser_audit_batiment</t>
  </si>
  <si>
    <t>19_2_etablir_bilan_carbone</t>
  </si>
  <si>
    <t>19_3_payback_carbone_projet_reno</t>
  </si>
  <si>
    <t>19_5_outil_suivi_plan_format_fidji_act</t>
  </si>
  <si>
    <t>19_7_in_use_very_good_batiment</t>
  </si>
  <si>
    <t>19_8_in_use_very_good_pilotage</t>
  </si>
  <si>
    <t>19_9_risques_fort_impact_carbone</t>
  </si>
  <si>
    <t>19_10_cpe_service_travaux</t>
  </si>
  <si>
    <t>19_11_autre_action_environnement</t>
  </si>
  <si>
    <t>Origine du gain</t>
  </si>
  <si>
    <t>Précision sur le gain</t>
  </si>
  <si>
    <t>Périmètre</t>
  </si>
  <si>
    <t xml:space="preserve">Stade </t>
  </si>
  <si>
    <t>Abandon énergie fossile</t>
  </si>
  <si>
    <t>Benchmark</t>
  </si>
  <si>
    <t>STD</t>
  </si>
  <si>
    <t>Eclairage</t>
  </si>
  <si>
    <t>Parties communes</t>
  </si>
  <si>
    <t>Non Applicable</t>
  </si>
  <si>
    <t>1ère estimation</t>
  </si>
  <si>
    <t>Estimation</t>
  </si>
  <si>
    <t>Chauffage</t>
  </si>
  <si>
    <t>Boutiques</t>
  </si>
  <si>
    <t>Non</t>
  </si>
  <si>
    <t>Devis détaillé</t>
  </si>
  <si>
    <t>ECS</t>
  </si>
  <si>
    <t>Hyper</t>
  </si>
  <si>
    <t>En cours</t>
  </si>
  <si>
    <t>Autre</t>
  </si>
  <si>
    <t>Climatisation</t>
  </si>
  <si>
    <t>Extérieur</t>
  </si>
  <si>
    <t>Froid alimentaire</t>
  </si>
  <si>
    <t>Bureautique</t>
  </si>
  <si>
    <t>Autre usage</t>
  </si>
  <si>
    <t>Nom du site</t>
  </si>
  <si>
    <t>5- Travaux CVC (hors abandon gaz &amp; fioul)</t>
  </si>
  <si>
    <t>1_1_ITE_facade</t>
  </si>
  <si>
    <t>Éteindre éclairage dès que les espaces intérieurs sont inoccupés (détecteurs de présence)</t>
  </si>
  <si>
    <t>Réduire durée éclairage extérieur la nuit et l'éteindre le plus tôt possible</t>
  </si>
  <si>
    <t>Rétro-commissionner régulièrement les installations CVC</t>
  </si>
  <si>
    <t>Veiller à ce que l’éclairage du site respecte l'obscurité nocture nécessaire à la biodiversité</t>
  </si>
  <si>
    <t>5_4_regulateurs_chaudières_en_cascade</t>
  </si>
  <si>
    <t>5_8_recupe_chaleur_air_extrait_process</t>
  </si>
  <si>
    <t>5_9_destratificateur</t>
  </si>
  <si>
    <t>5_10_freecooling</t>
  </si>
  <si>
    <t>5_11_raccord_reseau_urbain</t>
  </si>
  <si>
    <t>5_12_pilotage_cvc_via_gtb</t>
  </si>
  <si>
    <t>6_5_installer_energie_renouvelable</t>
  </si>
  <si>
    <t>6_6_unite_stockage_energie</t>
  </si>
  <si>
    <t>6_7_cogeneration</t>
  </si>
  <si>
    <t>6_8_autre_action_ENR_abandon_gaz_fioul</t>
  </si>
  <si>
    <t>7_2_arrêter_production_ecs_si_possible</t>
  </si>
  <si>
    <t>7_3_isoler_ballon_reseau</t>
  </si>
  <si>
    <t>7_4_recuperer_energie_pour_ECS</t>
  </si>
  <si>
    <t>7_5_installer_ecs_solaire</t>
  </si>
  <si>
    <t>7_6_installer_ecs_thermodynamique</t>
  </si>
  <si>
    <t>7_7_autre_action_ECS</t>
  </si>
  <si>
    <t>8_2_telereleve_systeme_management_energie</t>
  </si>
  <si>
    <t>8_5_telereleve_systeme_management_eau</t>
  </si>
  <si>
    <t>8_7_autre_action_comptage_suivi</t>
  </si>
  <si>
    <t>9_2_inspection_fonctionnement_gtb</t>
  </si>
  <si>
    <t>9_3_suivi_conso_energie</t>
  </si>
  <si>
    <t>9_4_plan_formation_utilisation_gtb</t>
  </si>
  <si>
    <t>9_5_carnet_gtb</t>
  </si>
  <si>
    <t>9_6_mise_a_jour_logiciel_gtb</t>
  </si>
  <si>
    <t>9_7_bacs_equipements_energivores</t>
  </si>
  <si>
    <t>9_8_connecter_BACS_flex</t>
  </si>
  <si>
    <t>9_9_connecter_gtb_meteo_et_activite</t>
  </si>
  <si>
    <t>9_10_autre_action_BACS_GTB</t>
  </si>
  <si>
    <t>11_2_regrouper_presents_sur_site</t>
  </si>
  <si>
    <t>11_3_organiser_occupation_du_site</t>
  </si>
  <si>
    <t>11_4_fermer_1_jour_par_semaine</t>
  </si>
  <si>
    <t>11_7_comm_pour_faire_accepter</t>
  </si>
  <si>
    <t>11_10_autre_action_orga_comm</t>
  </si>
  <si>
    <t>13_2_raccorder_pilotage_eau_a_la_gtb</t>
  </si>
  <si>
    <t>13_3_collecte_reutilisation_eaux_grises</t>
  </si>
  <si>
    <t>13_4_installer_recuperateur_ep</t>
  </si>
  <si>
    <t>13_5_reinjecter_EP_dans_usages_autorises</t>
  </si>
  <si>
    <t>13_6_equipements_hydroeconomes</t>
  </si>
  <si>
    <t>13_7_autre_action_sur_eau</t>
  </si>
  <si>
    <t>14_1_audit_energétique_IT</t>
  </si>
  <si>
    <t>14_9_code_europeen_datacenter</t>
  </si>
  <si>
    <t>15_5_vegetalisation_pleine_terre</t>
  </si>
  <si>
    <t>15_6_renaturer_zone_artificialisee</t>
  </si>
  <si>
    <t>15_7_vegetalisation_hors_sol</t>
  </si>
  <si>
    <t>15_8_eco_paturage</t>
  </si>
  <si>
    <t>15_9_eclairage_trame_noire</t>
  </si>
  <si>
    <t>15_10_accessible_et_ludique</t>
  </si>
  <si>
    <t>15_11_communiquer_biodiversité</t>
  </si>
  <si>
    <t>15_12_autre_action_biodiversité</t>
  </si>
  <si>
    <t>18_3_mettre_en_place_plan_resilience</t>
  </si>
  <si>
    <t>18_4_permeabiliser_parking</t>
  </si>
  <si>
    <t>18_5_creer_espace_ombrage</t>
  </si>
  <si>
    <t>18_6_noues</t>
  </si>
  <si>
    <t>18_7_bassins_retention</t>
  </si>
  <si>
    <t>18_8_diag_deconnexion_reseau</t>
  </si>
  <si>
    <t>18_9_risque_exposition_feu_foret</t>
  </si>
  <si>
    <t>18_10_autre_action_adaptation_climat</t>
  </si>
  <si>
    <t>19_4_outil_modelisation_trajectoire</t>
  </si>
  <si>
    <t>19_6_base_connaissance_equipements</t>
  </si>
  <si>
    <t>Date réalisation</t>
  </si>
  <si>
    <t>*</t>
  </si>
  <si>
    <t>Pays</t>
  </si>
  <si>
    <t>Énergie chauffage</t>
  </si>
  <si>
    <t>Bâtiment climatisé</t>
  </si>
  <si>
    <t>Connecté réseau chaleur</t>
  </si>
  <si>
    <t>Isolation bâtiment</t>
  </si>
  <si>
    <t>Note DPE</t>
  </si>
  <si>
    <t>GTB</t>
  </si>
  <si>
    <t>A le projet d’abandonner le gaz</t>
  </si>
  <si>
    <t>Bureaux</t>
  </si>
  <si>
    <t>Ville</t>
  </si>
  <si>
    <t>Nom du bâtiment</t>
  </si>
  <si>
    <t>Typologie</t>
  </si>
  <si>
    <t>Commerces centre ville</t>
  </si>
  <si>
    <t>Centre commercial</t>
  </si>
  <si>
    <t>Entrepôt réfrigéré</t>
  </si>
  <si>
    <t>Entrepôt non réfrigéré</t>
  </si>
  <si>
    <t>Santé</t>
  </si>
  <si>
    <t>Immeuble résidentiel</t>
  </si>
  <si>
    <t>Hotellerie</t>
  </si>
  <si>
    <t>Note:</t>
  </si>
  <si>
    <t>If you change a Sheet name, you will have to open the Data Validation box &amp; fix it - it is not dynamic.</t>
  </si>
  <si>
    <t>All is explained here: https://www.ablebits.com/office-addins-blog/dependent-dropdown-list-multiple-rows-excel/</t>
  </si>
  <si>
    <t>-</t>
  </si>
  <si>
    <t>Usage mixte</t>
  </si>
  <si>
    <t>Date de construction du bâtiment</t>
  </si>
  <si>
    <t>Date dernière rénovation du bâtiment</t>
  </si>
  <si>
    <t>Copropriété</t>
  </si>
  <si>
    <t>Location</t>
  </si>
  <si>
    <t>Energie chauffage</t>
  </si>
  <si>
    <t>Electricité</t>
  </si>
  <si>
    <t>Gaz naturel</t>
  </si>
  <si>
    <t>Fioul</t>
  </si>
  <si>
    <t>Réseau de chaleur</t>
  </si>
  <si>
    <t>Biomasse</t>
  </si>
  <si>
    <t>Certification environnementale</t>
  </si>
  <si>
    <t>BREEAM</t>
  </si>
  <si>
    <t>HQE</t>
  </si>
  <si>
    <t>LEED</t>
  </si>
  <si>
    <t>Certification thématique</t>
  </si>
  <si>
    <t>Wired score</t>
  </si>
  <si>
    <t>Smart score</t>
  </si>
  <si>
    <t>R2S</t>
  </si>
  <si>
    <t>Osmoz</t>
  </si>
  <si>
    <t>Biodivercity</t>
  </si>
  <si>
    <t>Isolation acceptable malgré des défauts</t>
  </si>
  <si>
    <t>Isolation renforcée</t>
  </si>
  <si>
    <t>Bonne isolation</t>
  </si>
  <si>
    <t>Isolation faible ou inexistante</t>
  </si>
  <si>
    <t>GTB installée sur le bâtiment</t>
  </si>
  <si>
    <r>
      <rPr>
        <b/>
        <sz val="11"/>
        <color theme="1"/>
        <rFont val="Calibri"/>
        <family val="2"/>
        <scheme val="minor"/>
      </rPr>
      <t xml:space="preserve">INDIRECT("Calculation!"&amp;ADDRESS(2,COLUMN(A1)+MATCH(Actions!A2,Calculation!$B$1#,0),4)&amp;"#") </t>
    </r>
    <r>
      <rPr>
        <sz val="11"/>
        <color theme="1"/>
        <rFont val="Calibri"/>
        <family val="2"/>
        <scheme val="minor"/>
      </rPr>
      <t xml:space="preserve">  into the Data Validation box for the Action column.</t>
    </r>
  </si>
  <si>
    <t>To make this work for the secondary dropdown list, you need to code the following into the DATA VALIDATION for the cell that contains the secondary list</t>
  </si>
  <si>
    <t>If you change the nomenclature, DO NOT change it here - change it in the Nomenclature table and this table is dynamic and will update</t>
  </si>
  <si>
    <t>Note: if you change the name of the tabs this will break the data validation, so you need to update the text in the IDIRECT function above</t>
  </si>
  <si>
    <t>Here we are constructing the cell reference in the table on this tab that allows us to get the list of categories for the selected family</t>
  </si>
  <si>
    <t>GTB performance acceptable (type classe C)</t>
  </si>
  <si>
    <t>GTB performance insufisante (type classe D)</t>
  </si>
  <si>
    <t>GTB haute performance (type classe A ou B)</t>
  </si>
  <si>
    <t>We use INDEX/MATCH to find the columnin the table on this page - we are looking in row 1 for the name of the family that was chosen on the Family on the Actions tab</t>
  </si>
  <si>
    <t>We use INDEX/MATCH to look along row 1 on this page until we find the cell which has the same family.</t>
  </si>
  <si>
    <t>For the found cell, we choose all the cells below it, ie the permitted list of categories for this family</t>
  </si>
  <si>
    <t>Bâtiment équipé d'une chaudière biomasse</t>
  </si>
  <si>
    <t>The Data Validation command in Excel is not great because you cannot specify Tables, so need to give cell references.</t>
  </si>
  <si>
    <t>Note: This table is on a different tab to the Backend values. This is for the reason above - we need to give cell references in the Data Validation.</t>
  </si>
  <si>
    <t>If one day Microsoft allows using Table names in the data validation, you can update the Data Validation and everything becomes a little easier</t>
  </si>
  <si>
    <t>Note DPE du bâtiment</t>
  </si>
  <si>
    <t>Administration / enseignement</t>
  </si>
  <si>
    <t>A</t>
  </si>
  <si>
    <t>B</t>
  </si>
  <si>
    <t>C</t>
  </si>
  <si>
    <t>D</t>
  </si>
  <si>
    <t>E</t>
  </si>
  <si>
    <t>F</t>
  </si>
  <si>
    <t>G</t>
  </si>
  <si>
    <t>Typologie du site (type CRREM-SBTi)</t>
  </si>
  <si>
    <t>Surface (m2) du bâtiment pour ratios énergie / carbone</t>
  </si>
  <si>
    <t>Statut propriété</t>
  </si>
  <si>
    <t>Type d'action Fidji ACT</t>
  </si>
  <si>
    <t>Libellé court type d'action</t>
  </si>
  <si>
    <t>Code site</t>
  </si>
  <si>
    <t xml:space="preserve">Statut Propriété </t>
  </si>
  <si>
    <t>Pleine propriété</t>
  </si>
  <si>
    <t>Libellé long pour chaque type d'action Fidji ACT</t>
  </si>
  <si>
    <t>Validé</t>
  </si>
  <si>
    <t>Réalisé</t>
  </si>
  <si>
    <t>Abandonné</t>
  </si>
  <si>
    <t>Stade</t>
  </si>
  <si>
    <t>8- Comptage &amp; suivi conso énergie / eau</t>
  </si>
  <si>
    <t>Quick win ?</t>
  </si>
  <si>
    <t>Quick win</t>
  </si>
  <si>
    <t>Rénovation légère</t>
  </si>
  <si>
    <t>Rénovation lourde</t>
  </si>
  <si>
    <t>Libellé court</t>
  </si>
  <si>
    <t>Libellé action</t>
  </si>
  <si>
    <t>Quick win ou rénovation</t>
  </si>
  <si>
    <t>A propos</t>
  </si>
  <si>
    <r>
      <rPr>
        <b/>
        <i/>
        <sz val="16"/>
        <color theme="1"/>
        <rFont val="Calibri"/>
        <family val="2"/>
        <scheme val="minor"/>
      </rPr>
      <t>Clause de non responsabilité</t>
    </r>
    <r>
      <rPr>
        <b/>
        <i/>
        <sz val="9"/>
        <color theme="1"/>
        <rFont val="Calibri"/>
        <family val="2"/>
        <scheme val="minor"/>
      </rPr>
      <t xml:space="preserve">
Toutes les informations contenues dans cet outil sont partagées en toute bonne foi et à titre d'information générale uniquement. L'application est gratuite et sans engagement. Tant que vous ne souscrivez pas au logiciel en ligne de la société KPI, la société KPI ne récupère ni n'archive aucune de vos données personnelles liées à ce fichier. En conséquence, la société KPI ne peut vous aider à récupérer vos données ou être tenue responsables de toute perte de données.  Le logiciel, sa documentation et ses ensembles de données sous-jacents sont fournis « en l'état » et la société KPI n'a pas d'obligation de fournir une maintenance, un support ou des mises à jour après la durée du projet. 
 Toute action entreprise sur la base des informations trouvées dans cet outil est strictement à vos risques et périls. Le CRREM n'est pas responsable des pertes et/ou dommages liés à l'utilisation de son site web. En utilisant cet outil, vous consentez par la présente à cette clause de non-responsabilité et en acceptez les termes.</t>
    </r>
  </si>
  <si>
    <t>Historique des versions</t>
  </si>
  <si>
    <t>A renseigner</t>
  </si>
  <si>
    <t>Données optionnelles pour un benchmark énergie / carbone / environnement (non nominatif)</t>
  </si>
  <si>
    <t xml:space="preserve">Installer EnR : photovoltaïque / solaire thermique </t>
  </si>
  <si>
    <t>A la main du preneur</t>
  </si>
  <si>
    <t>Préconisé</t>
  </si>
  <si>
    <t>A investiguer</t>
  </si>
  <si>
    <t>Toutes les informations contenues dans cet outil sont partagées en toute bonne foi et à titre d'information générale uniquement. L'utilisation du fichier Fidji Act Excel toll est gratuite et sans engagement. Tant que vous ne souscrivez pas au logiciel en ligne de la société KPI, la société KPI ne récupère ni n'archive aucune de vos données personnelles liées à ce fichier. En conséquence, la société KPI ne peut pas vous aider à récupérer vos données ou être tenue responsables de toute perte de données.  Le présent fichier est fourni « en l'état » et la société KPI n'a pas d'obligation de vous apporter une maintenance ni un support. En utilisant cet outil, vous consentez à cette clause de non-responsabilité et en acceptez les termes.</t>
  </si>
  <si>
    <t>Responsabilité</t>
  </si>
  <si>
    <t>Origine 
budget</t>
  </si>
  <si>
    <r>
      <t>Gains 
kWh</t>
    </r>
    <r>
      <rPr>
        <b/>
        <vertAlign val="subscript"/>
        <sz val="14"/>
        <color theme="0"/>
        <rFont val="Calibri Light"/>
        <family val="2"/>
        <scheme val="major"/>
      </rPr>
      <t>EF</t>
    </r>
  </si>
  <si>
    <t>Année 
prévue</t>
  </si>
  <si>
    <t>Fiche d'identité</t>
  </si>
  <si>
    <t>Typologie détaillée (option) : indiquez 1 mot(s) clé</t>
  </si>
  <si>
    <t>Planifié - Réalisé</t>
  </si>
  <si>
    <t>Tag</t>
  </si>
  <si>
    <t>A voir avec le mainteneur</t>
  </si>
  <si>
    <t>A voir avec le propriétaire</t>
  </si>
  <si>
    <t>A voir en comité vert</t>
  </si>
  <si>
    <t>Propriétaire</t>
  </si>
  <si>
    <t>Synthèse Fidji ACT</t>
  </si>
  <si>
    <t>Action urgente</t>
  </si>
  <si>
    <t>Urgence</t>
  </si>
  <si>
    <t>A la main du propriétaire</t>
  </si>
  <si>
    <t>A voir avec le locataire</t>
  </si>
  <si>
    <t>Co-décision avec un tiers</t>
  </si>
  <si>
    <t>Co-décision</t>
  </si>
  <si>
    <t>Comité vert</t>
  </si>
  <si>
    <t>Dépenses a priori alignées taxonomie</t>
  </si>
  <si>
    <t>Cliquer sur +</t>
  </si>
  <si>
    <t>Locataire</t>
  </si>
  <si>
    <t>Mainteneur</t>
  </si>
  <si>
    <r>
      <t xml:space="preserve">Impact prévu sur conso électricité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bâtiment</t>
    </r>
    <r>
      <rPr>
        <sz val="9"/>
        <color theme="0"/>
        <rFont val="Calibri Light"/>
        <family val="2"/>
        <scheme val="major"/>
      </rPr>
      <t xml:space="preserve"> </t>
    </r>
  </si>
  <si>
    <r>
      <t xml:space="preserve">Impact prévu sur conso
gaz naturel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bâtiment</t>
    </r>
  </si>
  <si>
    <r>
      <t xml:space="preserve">Impact prévu sur conso
réseau urbain (chauffage)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bâtiment</t>
    </r>
  </si>
  <si>
    <r>
      <t xml:space="preserve">Impact prévu sur conso 
réseau urbain (froid)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bâtiment</t>
    </r>
  </si>
  <si>
    <r>
      <t xml:space="preserve"> Impact prévu sur conso bois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bâtiment</t>
    </r>
  </si>
  <si>
    <t>Action =&gt; abandon gaz / fioul  ?</t>
  </si>
  <si>
    <t>Abandon gaz / fioul</t>
  </si>
  <si>
    <t>Code 
invest.</t>
  </si>
  <si>
    <t>Budget</t>
  </si>
  <si>
    <r>
      <t xml:space="preserve">Libellé court Fidji ACT 
</t>
    </r>
    <r>
      <rPr>
        <b/>
        <sz val="12"/>
        <color theme="0"/>
        <rFont val="Calibri Light"/>
        <family val="2"/>
        <scheme val="major"/>
      </rPr>
      <t>(choisir d'abord la famille)</t>
    </r>
  </si>
  <si>
    <r>
      <t xml:space="preserve">Libellé de l’action
</t>
    </r>
    <r>
      <rPr>
        <b/>
        <sz val="12"/>
        <color theme="0"/>
        <rFont val="Calibri Light"/>
        <family val="2"/>
        <scheme val="major"/>
      </rPr>
      <t>(à personnaliser)</t>
    </r>
  </si>
  <si>
    <t>A suivre avec le mainteneur</t>
  </si>
  <si>
    <t>A suivre avec le propriétaire</t>
  </si>
  <si>
    <t>A suivre avec le locataire</t>
  </si>
  <si>
    <t>Montant k€</t>
  </si>
  <si>
    <t>Formation à l'outil</t>
  </si>
  <si>
    <t>Plus de fonctionnalités</t>
  </si>
  <si>
    <t>7.3</t>
  </si>
  <si>
    <t>7.5</t>
  </si>
  <si>
    <t>7.6</t>
  </si>
  <si>
    <t>7.4</t>
  </si>
  <si>
    <t>Classe d'activité de référence</t>
  </si>
  <si>
    <t xml:space="preserve">Inciter les achats à favoriser le réemploi, notamment sur les matériaux de 2nd œuvre </t>
  </si>
  <si>
    <r>
      <t>Actions "Quick win" à suivre avec le mainteneur</t>
    </r>
    <r>
      <rPr>
        <b/>
        <sz val="15"/>
        <color rgb="FFC00000"/>
        <rFont val="Calibri"/>
        <family val="2"/>
        <scheme val="minor"/>
      </rPr>
      <t xml:space="preserve"> </t>
    </r>
  </si>
  <si>
    <r>
      <t>Actions Quick win à suivre en comité vert</t>
    </r>
    <r>
      <rPr>
        <b/>
        <sz val="15"/>
        <color rgb="FFC00000"/>
        <rFont val="Calibri"/>
        <family val="2"/>
        <scheme val="minor"/>
      </rPr>
      <t xml:space="preserve"> </t>
    </r>
    <r>
      <rPr>
        <sz val="14"/>
        <color rgb="FFC00000"/>
        <rFont val="Calibri"/>
        <family val="2"/>
        <scheme val="minor"/>
      </rPr>
      <t xml:space="preserve"> (stade Préconisé / A investiguer / Validé / En cours)</t>
    </r>
  </si>
  <si>
    <t>Prioritaire</t>
  </si>
  <si>
    <t>Action prioritaire</t>
  </si>
  <si>
    <t>A suivre en Comité vert</t>
  </si>
  <si>
    <t>Suivi</t>
  </si>
  <si>
    <t>Type doc.  justificatif</t>
  </si>
  <si>
    <t>Lien vers le doc.</t>
  </si>
  <si>
    <r>
      <t xml:space="preserve">CAPEX préconisés a priori alignés taxonomie </t>
    </r>
    <r>
      <rPr>
        <b/>
        <sz val="22"/>
        <color rgb="FFC00000"/>
        <rFont val="Calibri"/>
        <family val="2"/>
        <scheme val="minor"/>
      </rPr>
      <t>(Actions au stade "Préconisé)</t>
    </r>
  </si>
  <si>
    <r>
      <t>Actions à voir avec le propriétaire</t>
    </r>
    <r>
      <rPr>
        <b/>
        <sz val="15"/>
        <color rgb="FFC00000"/>
        <rFont val="Calibri"/>
        <family val="2"/>
        <scheme val="minor"/>
      </rPr>
      <t xml:space="preserve">  </t>
    </r>
    <r>
      <rPr>
        <sz val="15"/>
        <color rgb="FFC00000"/>
        <rFont val="Calibri"/>
        <family val="2"/>
        <scheme val="minor"/>
      </rPr>
      <t xml:space="preserve"> </t>
    </r>
    <r>
      <rPr>
        <sz val="14"/>
        <color rgb="FFC00000"/>
        <rFont val="Calibri"/>
        <family val="2"/>
        <scheme val="minor"/>
      </rPr>
      <t>(stade "Préconisé"ou "A investiguer")</t>
    </r>
  </si>
  <si>
    <r>
      <rPr>
        <b/>
        <sz val="72"/>
        <color rgb="FFFFFFFF"/>
        <rFont val="Wingdings"/>
        <charset val="2"/>
      </rPr>
      <t>è</t>
    </r>
    <r>
      <rPr>
        <b/>
        <sz val="38.15"/>
        <color rgb="FFFFFFFF"/>
        <rFont val="Calibri Light"/>
        <family val="2"/>
      </rPr>
      <t xml:space="preserve"> </t>
    </r>
    <r>
      <rPr>
        <b/>
        <sz val="90"/>
        <color rgb="FFFFFFFF"/>
        <rFont val="Calibri Light"/>
        <family val="2"/>
        <scheme val="major"/>
      </rPr>
      <t>Taxonomie</t>
    </r>
  </si>
  <si>
    <t xml:space="preserve">Suivi workflow plan d'action énergie / carbone </t>
  </si>
  <si>
    <t>Pilotage plan pluriannuel de travaux (CAPEX)</t>
  </si>
  <si>
    <t>Reporting certifications extra-financières</t>
  </si>
  <si>
    <t>Reporting taxonomie</t>
  </si>
  <si>
    <t>Projection dynamique trajectoire prévisionnelle carbone 2030, 2040, 2050 (type CRREM-SBTi)</t>
  </si>
  <si>
    <t>Ce fichier a été conçu par la société KPI intelligence puis testé par les membres du groupe de travail Fidji ACT, sous l'égide de l'institut Fidji. 
Pour toute demande sur le fonctionnement du fichier : support@kpi-intelligence.com.</t>
  </si>
  <si>
    <t>Pour une formation à l'utilisation de ce fichier, connectez-vous sur l'article de notre blog à l'adresse suivante : https://kpi-intelligence.com/fidji-act-excel-tool/
Des webinars de formation sont par ailleurs régulièrement organisés par la société KPI intelligence</t>
  </si>
  <si>
    <r>
      <rPr>
        <b/>
        <sz val="60"/>
        <color rgb="FFFFFFFF"/>
        <rFont val="Wingdings"/>
        <charset val="2"/>
      </rPr>
      <t>è</t>
    </r>
    <r>
      <rPr>
        <b/>
        <sz val="36"/>
        <color rgb="FFFFFFFF"/>
        <rFont val="Calibri Light"/>
        <family val="2"/>
        <scheme val="major"/>
      </rPr>
      <t xml:space="preserve"> </t>
    </r>
    <r>
      <rPr>
        <b/>
        <sz val="88"/>
        <color rgb="FFFFFFFF"/>
        <rFont val="Calibri Light"/>
        <family val="2"/>
        <scheme val="major"/>
      </rPr>
      <t>Comité vert</t>
    </r>
  </si>
  <si>
    <r>
      <rPr>
        <b/>
        <sz val="55"/>
        <color rgb="FFFFFFFF"/>
        <rFont val="Wingdings"/>
        <charset val="2"/>
      </rPr>
      <t>è</t>
    </r>
    <r>
      <rPr>
        <b/>
        <sz val="55"/>
        <color rgb="FFFFFFFF"/>
        <rFont val="Calibri Light"/>
        <family val="2"/>
        <scheme val="major"/>
      </rPr>
      <t xml:space="preserve"> </t>
    </r>
    <r>
      <rPr>
        <b/>
        <sz val="88"/>
        <color rgb="FFFFFFFF"/>
        <rFont val="Calibri Light"/>
        <family val="2"/>
        <scheme val="major"/>
      </rPr>
      <t>Propriétaire</t>
    </r>
  </si>
  <si>
    <r>
      <rPr>
        <b/>
        <sz val="60"/>
        <color rgb="FFFFFFFF"/>
        <rFont val="Wingdings"/>
        <charset val="2"/>
      </rPr>
      <t>è</t>
    </r>
    <r>
      <rPr>
        <b/>
        <sz val="36"/>
        <color rgb="FFFFFFFF"/>
        <rFont val="Calibri Light"/>
        <family val="2"/>
        <scheme val="major"/>
      </rPr>
      <t xml:space="preserve"> </t>
    </r>
    <r>
      <rPr>
        <b/>
        <sz val="88"/>
        <color rgb="FFFFFFFF"/>
        <rFont val="Calibri Light"/>
        <family val="2"/>
        <scheme val="major"/>
      </rPr>
      <t>Mainteneur</t>
    </r>
  </si>
  <si>
    <t>A le projet d’abandonner le gaz d'ici 2030</t>
  </si>
  <si>
    <t>Certification environnementale globale sur le bâtiment</t>
  </si>
  <si>
    <t>Certification thématique sur le bâtiment</t>
  </si>
  <si>
    <t>Isolation du bâtiment</t>
  </si>
  <si>
    <t>Bâtiment connecté réseau chaleur</t>
  </si>
  <si>
    <t>Mail au mainteneur</t>
  </si>
  <si>
    <t xml:space="preserve"> </t>
  </si>
  <si>
    <t>4.1</t>
  </si>
  <si>
    <r>
      <rPr>
        <b/>
        <i/>
        <sz val="16"/>
        <color theme="1"/>
        <rFont val="Calibri"/>
        <family val="2"/>
        <scheme val="minor"/>
      </rPr>
      <t>Clause de confidentialité</t>
    </r>
    <r>
      <rPr>
        <b/>
        <i/>
        <sz val="9"/>
        <color theme="1"/>
        <rFont val="Calibri"/>
        <family val="2"/>
        <scheme val="minor"/>
      </rPr>
      <t xml:space="preserve">
L'utilisateur du présent fichier pourra s'il le souhaite transmettre ledit fichier à la société KPI intelligence pour participer au benchmark, étant entendu que le nom de chaque site et de chaque bâtiment sera masqué par la société KPI aux autres utilisateurs, afin de préserver la confidentialité des données. </t>
    </r>
  </si>
  <si>
    <t>Pour bénéficier des fonctionnalités ci-dessus, importez ce fichier excel dans la plateforme ACT énergie / carbone éditée par KPI : pour activer votre plateforme ACT, écrivez à contact@kpi-intelligence.com</t>
  </si>
  <si>
    <t>Automatiser extinction de l’ éclairage quand espace inoccupé (détecteur, programmation)</t>
  </si>
  <si>
    <t>Scope budget</t>
  </si>
  <si>
    <t>Budget en k€</t>
  </si>
  <si>
    <t>Achat seulement</t>
  </si>
  <si>
    <t>Etude seulement</t>
  </si>
  <si>
    <t>Etude + fourniture &amp; pose standard</t>
  </si>
  <si>
    <t>Fourniture &amp; pose standard hors étude</t>
  </si>
  <si>
    <t>Benchmark Fidji ACT</t>
  </si>
  <si>
    <t>Benchmark autre</t>
  </si>
  <si>
    <t>Fidji Act import v. FR 2.0.11</t>
  </si>
  <si>
    <t>Version FR 2.0.11 datée du 19 mars 2025</t>
  </si>
  <si>
    <r>
      <t xml:space="preserve">Taxonomie 
</t>
    </r>
    <r>
      <rPr>
        <sz val="9"/>
        <color theme="0"/>
        <rFont val="Calibri Light"/>
        <family val="2"/>
        <scheme val="major"/>
      </rPr>
      <t>Classe d'activité dont relèvent les dépenses</t>
    </r>
  </si>
  <si>
    <t>Commentaire action</t>
  </si>
  <si>
    <t>Commentaire investissement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</si>
</sst>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 k€&quot;"/>
    <numFmt numFmtId="165" formatCode="#,##0&quot; kWh EF&quot;"/>
    <numFmt numFmtId="166" formatCode="#,##0&quot; m2&quot;"/>
    <numFmt numFmtId="167" formatCode="0&quot; action(s)&quot;"/>
    <numFmt numFmtId="168" formatCode="0.0"/>
  </numFmts>
  <fonts count="65">
    <font>
      <sz val="11"/>
      <color theme="1"/>
      <name val="Calibri"/>
      <family val="2"/>
      <scheme val="minor"/>
    </font>
    <font>
      <sz val="12"/>
      <name val="Calibri Light"/>
      <family val="2"/>
      <scheme val="major"/>
    </font>
    <font>
      <sz val="12"/>
      <color theme="1" tint="0.14999847407452621"/>
      <name val="Calibri Light"/>
      <family val="2"/>
      <scheme val="major"/>
    </font>
    <font>
      <sz val="11"/>
      <color theme="1" tint="0.14999847407452621"/>
      <name val="Calibri Light"/>
      <family val="2"/>
      <scheme val="major"/>
    </font>
    <font>
      <sz val="8"/>
      <color theme="1" tint="0.14999847407452621"/>
      <name val="Calibri Light"/>
      <family val="2"/>
      <scheme val="major"/>
    </font>
    <font>
      <sz val="8"/>
      <name val="Calibri"/>
      <family val="2"/>
      <scheme val="minor"/>
    </font>
    <font>
      <vertAlign val="superscript"/>
      <sz val="13"/>
      <color rgb="FFFFFFFF"/>
      <name val="Calibri Light"/>
      <family val="2"/>
    </font>
    <font>
      <sz val="13"/>
      <color rgb="FFFFFFFF"/>
      <name val="Calibri Light"/>
      <family val="2"/>
    </font>
    <font>
      <sz val="12"/>
      <color theme="1"/>
      <name val="Calibri Light"/>
      <family val="2"/>
      <scheme val="major"/>
    </font>
    <font>
      <sz val="12"/>
      <color theme="1"/>
      <name val="Calibri"/>
      <family val="2"/>
      <scheme val="minor"/>
    </font>
    <font>
      <sz val="8"/>
      <color theme="1"/>
      <name val="Calibri Light"/>
      <family val="2"/>
    </font>
    <font>
      <sz val="8"/>
      <color theme="1"/>
      <name val="Calibri Light"/>
      <family val="2"/>
      <scheme val="major"/>
    </font>
    <font>
      <b/>
      <sz val="12"/>
      <color theme="1"/>
      <name val="Calibri Light"/>
      <family val="2"/>
      <scheme val="major"/>
    </font>
    <font>
      <b/>
      <sz val="11"/>
      <color theme="0"/>
      <name val="Calibri"/>
      <family val="2"/>
      <scheme val="minor"/>
    </font>
    <font>
      <sz val="11"/>
      <color theme="0"/>
      <name val="Calibri"/>
      <family val="2"/>
      <scheme val="minor"/>
    </font>
    <font>
      <sz val="11"/>
      <color rgb="FF454545"/>
      <name val="Noto Sans"/>
      <family val="2"/>
    </font>
    <font>
      <b/>
      <sz val="11"/>
      <color theme="1"/>
      <name val="Calibri"/>
      <family val="2"/>
      <scheme val="minor"/>
    </font>
    <font>
      <sz val="12"/>
      <color rgb="FF000000"/>
      <name val="Calibri Light"/>
      <family val="2"/>
      <scheme val="major"/>
    </font>
    <font>
      <sz val="20"/>
      <color theme="1"/>
      <name val="Calibri Light"/>
      <family val="2"/>
      <scheme val="major"/>
    </font>
    <font>
      <sz val="10"/>
      <color theme="1" tint="0.14999847407452621"/>
      <name val="Calibri Light"/>
      <family val="2"/>
      <scheme val="major"/>
    </font>
    <font>
      <sz val="10"/>
      <color theme="0"/>
      <name val="Calibri Light"/>
      <family val="2"/>
      <scheme val="major"/>
    </font>
    <font>
      <b/>
      <sz val="14"/>
      <color theme="0"/>
      <name val="Calibri Light"/>
      <family val="2"/>
      <scheme val="major"/>
    </font>
    <font>
      <sz val="14"/>
      <color theme="0"/>
      <name val="Calibri Light"/>
      <family val="2"/>
      <scheme val="major"/>
    </font>
    <font>
      <vertAlign val="subscript"/>
      <sz val="10"/>
      <color theme="0"/>
      <name val="Calibri Light"/>
      <family val="2"/>
      <scheme val="major"/>
    </font>
    <font>
      <sz val="9"/>
      <color theme="0"/>
      <name val="Calibri Light"/>
      <family val="2"/>
      <scheme val="major"/>
    </font>
    <font>
      <b/>
      <vertAlign val="subscript"/>
      <sz val="14"/>
      <color theme="0"/>
      <name val="Calibri Light"/>
      <family val="2"/>
      <scheme val="major"/>
    </font>
    <font>
      <sz val="11"/>
      <color theme="1"/>
      <name val="Calibri Light"/>
      <family val="2"/>
      <scheme val="major"/>
    </font>
    <font>
      <b/>
      <sz val="36"/>
      <color rgb="FF005E00"/>
      <name val="Calibri"/>
      <family val="2"/>
      <scheme val="minor"/>
    </font>
    <font>
      <b/>
      <sz val="36"/>
      <color rgb="FFC00000"/>
      <name val="Calibri"/>
      <family val="2"/>
      <scheme val="minor"/>
    </font>
    <font>
      <sz val="10"/>
      <color theme="1"/>
      <name val="Calibri"/>
      <family val="2"/>
      <scheme val="minor"/>
    </font>
    <font>
      <sz val="8"/>
      <color theme="1"/>
      <name val="Calibri"/>
      <family val="2"/>
      <scheme val="minor"/>
    </font>
    <font>
      <b/>
      <i/>
      <sz val="9"/>
      <color theme="1"/>
      <name val="Calibri"/>
      <family val="2"/>
      <scheme val="minor"/>
    </font>
    <font>
      <b/>
      <i/>
      <sz val="9"/>
      <name val="Calibri"/>
      <family val="2"/>
      <scheme val="minor"/>
    </font>
    <font>
      <b/>
      <i/>
      <sz val="16"/>
      <color theme="1"/>
      <name val="Calibri"/>
      <family val="2"/>
      <scheme val="minor"/>
    </font>
    <font>
      <b/>
      <sz val="11"/>
      <name val="Calibri"/>
      <family val="2"/>
      <scheme val="minor"/>
    </font>
    <font>
      <b/>
      <sz val="12"/>
      <color rgb="FF000000"/>
      <name val="Calibri Light"/>
      <family val="2"/>
      <scheme val="major"/>
    </font>
    <font>
      <b/>
      <sz val="14"/>
      <name val="Calibri Light"/>
      <family val="2"/>
      <scheme val="major"/>
    </font>
    <font>
      <b/>
      <sz val="100"/>
      <color theme="0"/>
      <name val="Calibri Light"/>
      <family val="2"/>
      <scheme val="major"/>
    </font>
    <font>
      <b/>
      <sz val="100"/>
      <color theme="1" tint="0.34998626667073579"/>
      <name val="Calibri Light"/>
      <family val="2"/>
      <scheme val="major"/>
    </font>
    <font>
      <sz val="11"/>
      <color theme="1" tint="0.34998626667073579"/>
      <name val="Calibri"/>
      <family val="2"/>
      <scheme val="minor"/>
    </font>
    <font>
      <sz val="14"/>
      <color rgb="FFC00000"/>
      <name val="Calibri"/>
      <family val="2"/>
      <scheme val="minor"/>
    </font>
    <font>
      <b/>
      <sz val="95"/>
      <color rgb="FFFFFFFF"/>
      <name val="Calibri Light"/>
      <family val="2"/>
      <scheme val="major"/>
    </font>
    <font>
      <b/>
      <sz val="12"/>
      <color theme="0"/>
      <name val="Calibri Light"/>
      <family val="2"/>
      <scheme val="major"/>
    </font>
    <font>
      <b/>
      <sz val="36"/>
      <color rgb="FFFFFFFF"/>
      <name val="Calibri Light"/>
      <family val="2"/>
      <scheme val="major"/>
    </font>
    <font>
      <b/>
      <sz val="95"/>
      <color rgb="FFFFFFFF"/>
      <name val="Calibri Light"/>
      <family val="2"/>
      <charset val="2"/>
      <scheme val="major"/>
    </font>
    <font>
      <b/>
      <sz val="60"/>
      <color rgb="FFFFFFFF"/>
      <name val="Wingdings"/>
      <charset val="2"/>
    </font>
    <font>
      <b/>
      <sz val="100"/>
      <color rgb="FFFFFFFF"/>
      <name val="Calibri Light"/>
      <family val="2"/>
      <scheme val="major"/>
    </font>
    <font>
      <b/>
      <sz val="15"/>
      <color rgb="FFC00000"/>
      <name val="Calibri"/>
      <family val="2"/>
      <scheme val="minor"/>
    </font>
    <font>
      <sz val="15"/>
      <color rgb="FFC00000"/>
      <name val="Calibri"/>
      <family val="2"/>
      <scheme val="minor"/>
    </font>
    <font>
      <b/>
      <sz val="90"/>
      <color rgb="FFFFFFFF"/>
      <name val="Calibri Light"/>
      <family val="2"/>
      <scheme val="major"/>
    </font>
    <font>
      <b/>
      <sz val="78"/>
      <color rgb="FFFFFFFF"/>
      <name val="Calibri Light"/>
      <family val="2"/>
      <charset val="2"/>
      <scheme val="major"/>
    </font>
    <font>
      <b/>
      <sz val="78"/>
      <color rgb="FFFFFFFF"/>
      <name val="Calibri Light"/>
      <family val="2"/>
      <scheme val="major"/>
    </font>
    <font>
      <b/>
      <sz val="22"/>
      <color rgb="FFC00000"/>
      <name val="Calibri"/>
      <family val="2"/>
      <scheme val="minor"/>
    </font>
    <font>
      <b/>
      <sz val="88"/>
      <color rgb="FFFFFFFF"/>
      <name val="Calibri Light"/>
      <family val="2"/>
      <scheme val="major"/>
    </font>
    <font>
      <sz val="36"/>
      <color rgb="FFFFFFFF"/>
      <name val="Abadi Extra Light"/>
      <family val="2"/>
    </font>
    <font>
      <b/>
      <sz val="72"/>
      <color rgb="FFFFFFFF"/>
      <name val="Wingdings"/>
      <charset val="2"/>
    </font>
    <font>
      <b/>
      <sz val="72"/>
      <color rgb="FFFFFFFF"/>
      <name val="Calibri Light"/>
      <family val="2"/>
      <scheme val="major"/>
    </font>
    <font>
      <b/>
      <sz val="55"/>
      <color rgb="FFFFFFFF"/>
      <name val="Wingdings"/>
      <charset val="2"/>
    </font>
    <font>
      <b/>
      <sz val="55"/>
      <color rgb="FFFFFFFF"/>
      <name val="Calibri Light"/>
      <family val="2"/>
      <scheme val="major"/>
    </font>
    <font>
      <b/>
      <sz val="38.15"/>
      <color rgb="FFFFFFFF"/>
      <name val="Calibri Light"/>
      <family val="2"/>
    </font>
    <font>
      <b/>
      <sz val="72"/>
      <color rgb="FFFFFFFF"/>
      <name val="Calibri Light"/>
      <family val="2"/>
      <charset val="2"/>
      <scheme val="major"/>
    </font>
    <font>
      <sz val="11"/>
      <color rgb="FFFFFFFF"/>
      <name val="Calibri"/>
      <family val="2"/>
      <scheme val="minor"/>
    </font>
    <font>
      <sz val="11.5"/>
      <color rgb="FFFFFFFF"/>
      <name val="Calibri Light"/>
      <family val="2"/>
      <scheme val="major"/>
    </font>
    <font>
      <sz val="12"/>
      <color rgb="FFFFFFFF"/>
      <name val="Calibri Light"/>
      <family val="2"/>
      <scheme val="major"/>
    </font>
    <font>
      <b/>
      <i/>
      <sz val="9"/>
      <color rgb="FFC0000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3" tint="9.9978637043366805E-2"/>
        <bgColor indexed="64"/>
      </patternFill>
    </fill>
    <fill>
      <patternFill patternType="solid">
        <fgColor theme="4"/>
        <bgColor theme="4"/>
      </patternFill>
    </fill>
    <fill>
      <patternFill patternType="solid">
        <fgColor theme="1" tint="0.49998474074526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7C8FA4"/>
        <bgColor indexed="64"/>
      </patternFill>
    </fill>
    <fill>
      <patternFill patternType="solid">
        <fgColor rgb="FFEF894B"/>
        <bgColor indexed="64"/>
      </patternFill>
    </fill>
    <fill>
      <patternFill patternType="solid">
        <fgColor rgb="FFA87C00"/>
        <bgColor indexed="64"/>
      </patternFill>
    </fill>
    <fill>
      <patternFill patternType="solid">
        <fgColor rgb="FF7A90AA"/>
        <bgColor indexed="64"/>
      </patternFill>
    </fill>
    <fill>
      <patternFill patternType="solid">
        <fgColor rgb="FF227C5C"/>
        <bgColor indexed="64"/>
      </patternFill>
    </fill>
    <fill>
      <patternFill patternType="solid">
        <fgColor rgb="FF227457"/>
        <bgColor indexed="64"/>
      </patternFill>
    </fill>
    <fill>
      <patternFill patternType="solid">
        <fgColor rgb="FF385FAE"/>
        <bgColor indexed="64"/>
      </patternFill>
    </fill>
    <fill>
      <patternFill patternType="solid">
        <fgColor rgb="FF388600"/>
        <bgColor indexed="64"/>
      </patternFill>
    </fill>
    <fill>
      <patternFill patternType="solid">
        <fgColor theme="4" tint="-0.499984740745262"/>
        <bgColor indexed="64"/>
      </patternFill>
    </fill>
    <fill>
      <patternFill patternType="solid">
        <fgColor theme="2" tint="-0.499984740745262"/>
        <bgColor indexed="64"/>
      </patternFill>
    </fill>
    <fill>
      <patternFill patternType="solid">
        <fgColor rgb="FFF3A211"/>
        <bgColor indexed="64"/>
      </patternFill>
    </fill>
    <fill>
      <patternFill patternType="solid">
        <fgColor rgb="FFA20000"/>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medium">
        <color rgb="FFFFFFFF"/>
      </left>
      <right/>
      <top/>
      <bottom style="thin">
        <color rgb="FFBFBFBF"/>
      </bottom>
      <diagonal/>
    </border>
    <border>
      <left style="hair">
        <color indexed="64"/>
      </left>
      <right style="hair">
        <color indexed="64"/>
      </right>
      <top style="hair">
        <color indexed="64"/>
      </top>
      <bottom style="hair">
        <color indexed="64"/>
      </bottom>
      <diagonal/>
    </border>
    <border>
      <left/>
      <right/>
      <top/>
      <bottom style="thin">
        <color rgb="FFBFBFB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bottom style="thin">
        <color rgb="FFBFBFBF"/>
      </bottom>
      <diagonal/>
    </border>
    <border>
      <left/>
      <right/>
      <top/>
      <bottom style="thin">
        <color theme="0" tint="-0.34998626667073579"/>
      </bottom>
      <diagonal/>
    </border>
    <border>
      <left/>
      <right/>
      <top style="thin">
        <color theme="0" tint="-0.34998626667073579"/>
      </top>
      <bottom/>
      <diagonal/>
    </border>
  </borders>
  <cellStyleXfs count="1">
    <xf numFmtId="0" fontId="0" fillId="0" borderId="0"/>
  </cellStyleXfs>
  <cellXfs count="193">
    <xf numFmtId="0" fontId="0" fillId="0" borderId="0" xfId="0"/>
    <xf numFmtId="0" fontId="2" fillId="0" borderId="0" xfId="0" applyFont="1" applyAlignment="1">
      <alignment vertical="center"/>
    </xf>
    <xf numFmtId="0" fontId="1" fillId="0" borderId="0" xfId="0" applyFont="1" applyAlignment="1">
      <alignment vertical="center"/>
    </xf>
    <xf numFmtId="0" fontId="2" fillId="0" borderId="0" xfId="0" applyFont="1" applyAlignment="1">
      <alignment horizontal="center" vertical="center"/>
    </xf>
    <xf numFmtId="0" fontId="3" fillId="0" borderId="0" xfId="0" applyFont="1"/>
    <xf numFmtId="0" fontId="4" fillId="0" borderId="0" xfId="0" applyFont="1" applyAlignment="1">
      <alignment vertical="center"/>
    </xf>
    <xf numFmtId="0" fontId="0" fillId="0" borderId="0" xfId="0" applyAlignment="1">
      <alignment horizontal="center" vertical="center"/>
    </xf>
    <xf numFmtId="0" fontId="8" fillId="0" borderId="1" xfId="0" applyFont="1" applyBorder="1" applyAlignment="1" applyProtection="1">
      <alignment horizontal="center" vertical="center" wrapText="1"/>
      <protection locked="0"/>
    </xf>
    <xf numFmtId="165" fontId="8" fillId="0" borderId="1" xfId="0" applyNumberFormat="1" applyFont="1" applyBorder="1" applyAlignment="1" applyProtection="1">
      <alignment horizontal="center" vertical="center" wrapText="1"/>
      <protection locked="0"/>
    </xf>
    <xf numFmtId="0" fontId="0" fillId="2" borderId="0" xfId="0" applyFill="1"/>
    <xf numFmtId="0" fontId="0" fillId="0" borderId="0" xfId="0" applyProtection="1">
      <protection locked="0"/>
    </xf>
    <xf numFmtId="164" fontId="8" fillId="0" borderId="1" xfId="0" applyNumberFormat="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0" xfId="0" applyFont="1" applyAlignment="1">
      <alignment vertical="center"/>
    </xf>
    <xf numFmtId="0" fontId="11" fillId="0" borderId="0" xfId="0" applyFont="1" applyAlignment="1">
      <alignment vertical="center"/>
    </xf>
    <xf numFmtId="0" fontId="10" fillId="0" borderId="0" xfId="0" applyFont="1" applyAlignment="1">
      <alignment horizontal="left" vertical="center" readingOrder="1"/>
    </xf>
    <xf numFmtId="0" fontId="12" fillId="5" borderId="11" xfId="0" applyFont="1" applyFill="1" applyBorder="1" applyAlignment="1">
      <alignment horizontal="center" vertical="center" wrapText="1" readingOrder="1"/>
    </xf>
    <xf numFmtId="0" fontId="13" fillId="6" borderId="5" xfId="0" applyFont="1" applyFill="1" applyBorder="1" applyAlignment="1">
      <alignment vertical="center"/>
    </xf>
    <xf numFmtId="0" fontId="11" fillId="3" borderId="5" xfId="0" applyFont="1" applyFill="1" applyBorder="1" applyAlignment="1">
      <alignment vertical="center"/>
    </xf>
    <xf numFmtId="0" fontId="15" fillId="0" borderId="0" xfId="0" applyFont="1"/>
    <xf numFmtId="0" fontId="17" fillId="2" borderId="1" xfId="0" applyFont="1" applyFill="1" applyBorder="1" applyAlignment="1">
      <alignment vertical="center" wrapText="1" readingOrder="1"/>
    </xf>
    <xf numFmtId="0" fontId="8" fillId="2" borderId="0" xfId="0" applyFont="1" applyFill="1" applyAlignment="1">
      <alignment vertical="center"/>
    </xf>
    <xf numFmtId="0" fontId="17" fillId="2" borderId="0" xfId="0" applyFont="1" applyFill="1" applyAlignment="1">
      <alignment vertical="center" wrapText="1" readingOrder="1"/>
    </xf>
    <xf numFmtId="0" fontId="18" fillId="0" borderId="0" xfId="0" applyFont="1" applyAlignment="1">
      <alignment horizontal="center" vertical="center"/>
    </xf>
    <xf numFmtId="0" fontId="8" fillId="0" borderId="0" xfId="0" applyFont="1" applyAlignment="1">
      <alignment horizontal="center" vertical="center"/>
    </xf>
    <xf numFmtId="0" fontId="18" fillId="0" borderId="0" xfId="0" applyFont="1" applyAlignment="1">
      <alignment horizontal="left" vertical="center"/>
    </xf>
    <xf numFmtId="0" fontId="2" fillId="0" borderId="0" xfId="0" applyFont="1" applyAlignment="1" applyProtection="1">
      <alignment vertical="center"/>
      <protection locked="0"/>
    </xf>
    <xf numFmtId="0" fontId="4" fillId="0" borderId="0" xfId="0" applyFont="1" applyAlignment="1" applyProtection="1">
      <alignment vertical="center"/>
      <protection locked="0"/>
    </xf>
    <xf numFmtId="0" fontId="9" fillId="0" borderId="0" xfId="0" applyFont="1" applyProtection="1">
      <protection locked="0"/>
    </xf>
    <xf numFmtId="0" fontId="8" fillId="0" borderId="0" xfId="0" applyFont="1" applyAlignment="1" applyProtection="1">
      <alignment vertical="center"/>
      <protection locked="0"/>
    </xf>
    <xf numFmtId="0" fontId="0" fillId="0" borderId="0" xfId="0" applyAlignment="1" applyProtection="1">
      <alignment horizontal="center"/>
      <protection locked="0"/>
    </xf>
    <xf numFmtId="167" fontId="8" fillId="0" borderId="0" xfId="0" applyNumberFormat="1" applyFont="1" applyAlignment="1">
      <alignment vertical="center"/>
    </xf>
    <xf numFmtId="0" fontId="12" fillId="5" borderId="13" xfId="0" applyFont="1" applyFill="1" applyBorder="1" applyAlignment="1">
      <alignment horizontal="center" vertical="center" wrapText="1" readingOrder="1"/>
    </xf>
    <xf numFmtId="0" fontId="0" fillId="0" borderId="0" xfId="0" applyAlignment="1">
      <alignment vertical="center"/>
    </xf>
    <xf numFmtId="0" fontId="0" fillId="0" borderId="0" xfId="0" applyAlignment="1">
      <alignment horizontal="right" vertical="center"/>
    </xf>
    <xf numFmtId="0" fontId="0" fillId="0" borderId="0" xfId="0" applyAlignment="1">
      <alignment horizontal="left" vertical="center"/>
    </xf>
    <xf numFmtId="0" fontId="0" fillId="2" borderId="0" xfId="0" applyFill="1" applyAlignment="1">
      <alignment horizontal="left" vertical="center"/>
    </xf>
    <xf numFmtId="0" fontId="0" fillId="2" borderId="0" xfId="0" applyFill="1" applyAlignment="1">
      <alignment horizontal="center" vertical="center"/>
    </xf>
    <xf numFmtId="0" fontId="27" fillId="2" borderId="0" xfId="0" applyFont="1" applyFill="1" applyAlignment="1">
      <alignment vertical="center"/>
    </xf>
    <xf numFmtId="0" fontId="28" fillId="2" borderId="0" xfId="0" applyFont="1" applyFill="1" applyAlignment="1">
      <alignment horizontal="left" vertical="center" indent="1"/>
    </xf>
    <xf numFmtId="0" fontId="8" fillId="11" borderId="12" xfId="0" applyFont="1" applyFill="1" applyBorder="1" applyAlignment="1">
      <alignment vertical="center"/>
    </xf>
    <xf numFmtId="167" fontId="8" fillId="11" borderId="12" xfId="0" applyNumberFormat="1" applyFont="1" applyFill="1" applyBorder="1" applyAlignment="1">
      <alignment horizontal="center" vertical="center"/>
    </xf>
    <xf numFmtId="0" fontId="8" fillId="8" borderId="12" xfId="0" applyFont="1" applyFill="1" applyBorder="1" applyAlignment="1">
      <alignment vertical="center"/>
    </xf>
    <xf numFmtId="167" fontId="8" fillId="8" borderId="12" xfId="0" applyNumberFormat="1" applyFont="1" applyFill="1" applyBorder="1" applyAlignment="1">
      <alignment horizontal="center" vertical="center"/>
    </xf>
    <xf numFmtId="0" fontId="8" fillId="10" borderId="12" xfId="0" applyFont="1" applyFill="1" applyBorder="1" applyAlignment="1">
      <alignment vertical="center"/>
    </xf>
    <xf numFmtId="167" fontId="8" fillId="10" borderId="12" xfId="0" applyNumberFormat="1" applyFont="1" applyFill="1" applyBorder="1" applyAlignment="1">
      <alignment horizontal="center" vertical="center"/>
    </xf>
    <xf numFmtId="0" fontId="8" fillId="9" borderId="12" xfId="0" applyFont="1" applyFill="1" applyBorder="1" applyAlignment="1">
      <alignment vertical="center"/>
    </xf>
    <xf numFmtId="167" fontId="8" fillId="9" borderId="12" xfId="0" applyNumberFormat="1" applyFont="1" applyFill="1" applyBorder="1" applyAlignment="1">
      <alignment horizontal="center" vertical="center"/>
    </xf>
    <xf numFmtId="0" fontId="29" fillId="2" borderId="0" xfId="0" applyFont="1" applyFill="1"/>
    <xf numFmtId="0" fontId="16" fillId="2" borderId="0" xfId="0" applyFont="1" applyFill="1" applyAlignment="1">
      <alignment horizontal="right" vertical="center"/>
    </xf>
    <xf numFmtId="0" fontId="16" fillId="2" borderId="0" xfId="0" applyFont="1" applyFill="1" applyAlignment="1">
      <alignment horizontal="right"/>
    </xf>
    <xf numFmtId="168" fontId="0" fillId="2" borderId="0" xfId="0" applyNumberFormat="1" applyFill="1" applyAlignment="1">
      <alignment horizontal="left"/>
    </xf>
    <xf numFmtId="2" fontId="0" fillId="2" borderId="0" xfId="0" quotePrefix="1" applyNumberFormat="1" applyFill="1" applyAlignment="1">
      <alignment horizontal="right"/>
    </xf>
    <xf numFmtId="0" fontId="29" fillId="2" borderId="0" xfId="0" applyFont="1" applyFill="1" applyAlignment="1">
      <alignment horizontal="center" vertical="center" wrapText="1"/>
    </xf>
    <xf numFmtId="2" fontId="30" fillId="2" borderId="0" xfId="0" applyNumberFormat="1" applyFont="1" applyFill="1" applyAlignment="1">
      <alignment horizontal="right" vertical="top"/>
    </xf>
    <xf numFmtId="2" fontId="0" fillId="2" borderId="0" xfId="0" applyNumberFormat="1" applyFill="1"/>
    <xf numFmtId="0" fontId="0" fillId="2" borderId="0" xfId="0" quotePrefix="1" applyFill="1" applyAlignment="1">
      <alignment horizontal="right"/>
    </xf>
    <xf numFmtId="0" fontId="0" fillId="2" borderId="0" xfId="0" applyFill="1" applyAlignment="1">
      <alignment horizontal="left"/>
    </xf>
    <xf numFmtId="0" fontId="32" fillId="2" borderId="0" xfId="0" applyFont="1" applyFill="1" applyAlignment="1">
      <alignment horizontal="left" vertical="center"/>
    </xf>
    <xf numFmtId="0" fontId="33" fillId="2" borderId="0" xfId="0" applyFont="1" applyFill="1" applyAlignment="1">
      <alignment horizontal="left" vertical="top" wrapText="1"/>
    </xf>
    <xf numFmtId="0" fontId="14" fillId="0" borderId="0" xfId="0" applyFont="1" applyAlignment="1">
      <alignment vertical="center"/>
    </xf>
    <xf numFmtId="0" fontId="8" fillId="11" borderId="14" xfId="0" applyFont="1" applyFill="1" applyBorder="1" applyAlignment="1">
      <alignment vertical="center"/>
    </xf>
    <xf numFmtId="167" fontId="8" fillId="11" borderId="14" xfId="0" applyNumberFormat="1" applyFont="1" applyFill="1" applyBorder="1" applyAlignment="1">
      <alignment horizontal="center" vertical="center"/>
    </xf>
    <xf numFmtId="0" fontId="8" fillId="8" borderId="14" xfId="0" applyFont="1" applyFill="1" applyBorder="1" applyAlignment="1">
      <alignment vertical="center"/>
    </xf>
    <xf numFmtId="167" fontId="8" fillId="8" borderId="14" xfId="0" applyNumberFormat="1" applyFont="1" applyFill="1" applyBorder="1" applyAlignment="1">
      <alignment horizontal="center" vertical="center"/>
    </xf>
    <xf numFmtId="0" fontId="8" fillId="10" borderId="14" xfId="0" applyFont="1" applyFill="1" applyBorder="1" applyAlignment="1">
      <alignment vertical="center"/>
    </xf>
    <xf numFmtId="167" fontId="8" fillId="10" borderId="14" xfId="0" applyNumberFormat="1" applyFont="1" applyFill="1" applyBorder="1" applyAlignment="1">
      <alignment horizontal="center" vertical="center"/>
    </xf>
    <xf numFmtId="167" fontId="8" fillId="9" borderId="14" xfId="0" applyNumberFormat="1" applyFont="1" applyFill="1" applyBorder="1" applyAlignment="1">
      <alignment horizontal="center" vertical="center"/>
    </xf>
    <xf numFmtId="0" fontId="8" fillId="2" borderId="12" xfId="0" applyFont="1" applyFill="1" applyBorder="1" applyAlignment="1">
      <alignment vertical="center"/>
    </xf>
    <xf numFmtId="167" fontId="8" fillId="2" borderId="12" xfId="0" applyNumberFormat="1" applyFont="1" applyFill="1" applyBorder="1" applyAlignment="1">
      <alignment horizontal="center" vertical="center"/>
    </xf>
    <xf numFmtId="167" fontId="8" fillId="2" borderId="0" xfId="0" applyNumberFormat="1" applyFont="1" applyFill="1" applyAlignment="1">
      <alignment horizontal="center" vertical="center"/>
    </xf>
    <xf numFmtId="0" fontId="0" fillId="2" borderId="1" xfId="0"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9" xfId="0" applyFill="1" applyBorder="1" applyAlignment="1">
      <alignment horizontal="center" vertical="center" wrapText="1"/>
    </xf>
    <xf numFmtId="0" fontId="0" fillId="2" borderId="2" xfId="0" applyFill="1" applyBorder="1" applyAlignment="1">
      <alignment horizontal="center" vertical="center"/>
    </xf>
    <xf numFmtId="0" fontId="0" fillId="2" borderId="0" xfId="0" applyFill="1" applyAlignment="1">
      <alignment horizontal="center" vertical="center" wrapText="1"/>
    </xf>
    <xf numFmtId="0" fontId="34" fillId="2" borderId="0" xfId="0" applyFont="1" applyFill="1" applyAlignment="1">
      <alignment horizontal="center" vertical="center"/>
    </xf>
    <xf numFmtId="0" fontId="34" fillId="2" borderId="1"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2" xfId="0" applyFont="1" applyFill="1" applyBorder="1" applyAlignment="1">
      <alignment horizontal="center" vertical="center" wrapText="1"/>
    </xf>
    <xf numFmtId="0" fontId="34" fillId="2" borderId="10" xfId="0" applyFont="1" applyFill="1" applyBorder="1" applyAlignment="1">
      <alignment horizontal="center" vertical="center"/>
    </xf>
    <xf numFmtId="0" fontId="16" fillId="2" borderId="1" xfId="0" applyFont="1" applyFill="1" applyBorder="1" applyAlignment="1">
      <alignment horizontal="center" vertical="center"/>
    </xf>
    <xf numFmtId="0" fontId="35" fillId="2" borderId="1" xfId="0" applyFont="1" applyFill="1" applyBorder="1" applyAlignment="1">
      <alignment horizontal="center" vertical="center" wrapText="1" readingOrder="1"/>
    </xf>
    <xf numFmtId="0" fontId="13" fillId="2" borderId="0" xfId="0" applyFont="1" applyFill="1" applyAlignment="1">
      <alignment horizontal="center" vertical="center"/>
    </xf>
    <xf numFmtId="0" fontId="8" fillId="11" borderId="12" xfId="0" applyFont="1" applyFill="1" applyBorder="1" applyAlignment="1">
      <alignment horizontal="center" vertical="center"/>
    </xf>
    <xf numFmtId="0" fontId="8" fillId="8" borderId="12" xfId="0" applyFont="1" applyFill="1" applyBorder="1" applyAlignment="1">
      <alignment horizontal="center" vertical="center"/>
    </xf>
    <xf numFmtId="0" fontId="8" fillId="10"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0" xfId="0" applyFont="1" applyFill="1" applyAlignment="1">
      <alignment horizontal="center" vertical="center"/>
    </xf>
    <xf numFmtId="0" fontId="8" fillId="11" borderId="14" xfId="0" applyFont="1" applyFill="1" applyBorder="1" applyAlignment="1">
      <alignment horizontal="center" vertical="center"/>
    </xf>
    <xf numFmtId="0" fontId="8" fillId="8" borderId="14" xfId="0" applyFont="1" applyFill="1" applyBorder="1" applyAlignment="1">
      <alignment horizontal="center" vertical="center"/>
    </xf>
    <xf numFmtId="0" fontId="8" fillId="10" borderId="14" xfId="0" applyFont="1" applyFill="1" applyBorder="1" applyAlignment="1">
      <alignment horizontal="center" vertical="center"/>
    </xf>
    <xf numFmtId="0" fontId="1" fillId="0" borderId="0" xfId="0" applyFont="1" applyAlignment="1" applyProtection="1">
      <alignment vertical="center"/>
      <protection locked="0"/>
    </xf>
    <xf numFmtId="0" fontId="21" fillId="7" borderId="4" xfId="0" applyFont="1" applyFill="1" applyBorder="1" applyAlignment="1">
      <alignment horizontal="center" vertical="center" wrapText="1" readingOrder="1"/>
    </xf>
    <xf numFmtId="0" fontId="19" fillId="0" borderId="0" xfId="0" applyFont="1" applyAlignment="1">
      <alignment vertical="center"/>
    </xf>
    <xf numFmtId="0" fontId="21" fillId="7" borderId="3" xfId="0" applyFont="1" applyFill="1" applyBorder="1" applyAlignment="1">
      <alignment vertical="center" wrapText="1" readingOrder="1"/>
    </xf>
    <xf numFmtId="0" fontId="36" fillId="4" borderId="3" xfId="0" applyFont="1" applyFill="1" applyBorder="1" applyAlignment="1">
      <alignment horizontal="center" vertical="center" wrapText="1" readingOrder="1"/>
    </xf>
    <xf numFmtId="0" fontId="21" fillId="7" borderId="3" xfId="0" applyFont="1" applyFill="1" applyBorder="1" applyAlignment="1">
      <alignment horizontal="center" vertical="center" wrapText="1" readingOrder="1"/>
    </xf>
    <xf numFmtId="0" fontId="22" fillId="7" borderId="3" xfId="0" applyFont="1" applyFill="1" applyBorder="1" applyAlignment="1">
      <alignment horizontal="center" vertical="center" wrapText="1" readingOrder="1"/>
    </xf>
    <xf numFmtId="0" fontId="14" fillId="7" borderId="0" xfId="0" applyFont="1" applyFill="1"/>
    <xf numFmtId="0" fontId="0" fillId="0" borderId="0" xfId="0" applyAlignment="1">
      <alignment horizontal="center"/>
    </xf>
    <xf numFmtId="0" fontId="39" fillId="0" borderId="0" xfId="0" applyFont="1" applyAlignment="1">
      <alignment vertical="center"/>
    </xf>
    <xf numFmtId="0" fontId="28" fillId="2" borderId="0" xfId="0" applyFont="1" applyFill="1" applyAlignment="1">
      <alignment horizontal="left" vertical="center"/>
    </xf>
    <xf numFmtId="0" fontId="38" fillId="12" borderId="15" xfId="0" applyFont="1" applyFill="1" applyBorder="1" applyAlignment="1">
      <alignment horizontal="left" vertical="center" wrapText="1"/>
    </xf>
    <xf numFmtId="0" fontId="46" fillId="13" borderId="15" xfId="0" applyFont="1" applyFill="1" applyBorder="1" applyAlignment="1">
      <alignment horizontal="left" vertical="center" wrapText="1"/>
    </xf>
    <xf numFmtId="0" fontId="11" fillId="0" borderId="1" xfId="0" applyFont="1" applyBorder="1" applyAlignment="1">
      <alignment horizontal="center" vertical="center" wrapText="1"/>
    </xf>
    <xf numFmtId="0" fontId="37" fillId="16" borderId="15" xfId="0" applyFont="1" applyFill="1" applyBorder="1" applyAlignment="1">
      <alignment horizontal="left" vertical="center" wrapText="1"/>
    </xf>
    <xf numFmtId="0" fontId="31" fillId="2" borderId="0" xfId="0" applyFont="1" applyFill="1" applyAlignment="1">
      <alignment horizontal="left" vertical="top" wrapText="1"/>
    </xf>
    <xf numFmtId="0" fontId="31" fillId="2" borderId="0" xfId="0" applyFont="1" applyFill="1" applyAlignment="1">
      <alignment horizontal="left" vertical="top"/>
    </xf>
    <xf numFmtId="0" fontId="26" fillId="2" borderId="0" xfId="0" applyFont="1" applyFill="1" applyAlignment="1">
      <alignment horizontal="left" vertical="center"/>
    </xf>
    <xf numFmtId="0" fontId="26" fillId="2" borderId="0" xfId="0" applyFont="1" applyFill="1" applyAlignment="1">
      <alignment horizontal="center" vertical="center"/>
    </xf>
    <xf numFmtId="0" fontId="38" fillId="17" borderId="15" xfId="0" applyFont="1" applyFill="1" applyBorder="1" applyAlignment="1">
      <alignment horizontal="left" vertical="center" wrapText="1"/>
    </xf>
    <xf numFmtId="0" fontId="3" fillId="0" borderId="0" xfId="0" applyFont="1" applyAlignment="1">
      <alignment horizontal="center" vertical="center"/>
    </xf>
    <xf numFmtId="0" fontId="12" fillId="5" borderId="16" xfId="0" applyFont="1" applyFill="1" applyBorder="1" applyAlignment="1">
      <alignment horizontal="center" vertical="center" wrapText="1" readingOrder="1"/>
    </xf>
    <xf numFmtId="0" fontId="38" fillId="14" borderId="17" xfId="0" applyFont="1" applyFill="1" applyBorder="1" applyAlignment="1">
      <alignment horizontal="left" vertical="center" wrapText="1"/>
    </xf>
    <xf numFmtId="0" fontId="21" fillId="7" borderId="1" xfId="0" applyFont="1" applyFill="1" applyBorder="1" applyAlignment="1">
      <alignment horizontal="center" vertical="center" wrapText="1" readingOrder="1"/>
    </xf>
    <xf numFmtId="0" fontId="46" fillId="13" borderId="0" xfId="0" applyFont="1" applyFill="1" applyAlignment="1">
      <alignment horizontal="left" vertical="center" wrapText="1"/>
    </xf>
    <xf numFmtId="0" fontId="3" fillId="0" borderId="0" xfId="0" applyFont="1" applyAlignment="1">
      <alignment horizontal="center"/>
    </xf>
    <xf numFmtId="0" fontId="61" fillId="2" borderId="0" xfId="0" applyFont="1" applyFill="1" applyAlignment="1">
      <alignment horizontal="center" vertical="center"/>
    </xf>
    <xf numFmtId="0" fontId="31" fillId="2" borderId="0" xfId="0" applyFont="1" applyFill="1" applyAlignment="1">
      <alignment vertical="top" wrapText="1"/>
    </xf>
    <xf numFmtId="0" fontId="61" fillId="22" borderId="0" xfId="0" applyFont="1" applyFill="1" applyAlignment="1">
      <alignment horizontal="center" vertical="center"/>
    </xf>
    <xf numFmtId="0" fontId="8" fillId="0" borderId="0" xfId="0" applyFont="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17" fillId="2" borderId="0" xfId="0" applyFont="1" applyFill="1" applyAlignment="1" applyProtection="1">
      <alignment vertical="center" wrapText="1" readingOrder="1"/>
      <protection locked="0"/>
    </xf>
    <xf numFmtId="166" fontId="8" fillId="4" borderId="1" xfId="0" applyNumberFormat="1" applyFont="1" applyFill="1" applyBorder="1" applyAlignment="1" applyProtection="1">
      <alignment horizontal="left" vertical="center"/>
      <protection locked="0"/>
    </xf>
    <xf numFmtId="0" fontId="62" fillId="17" borderId="9" xfId="0" applyFont="1" applyFill="1" applyBorder="1" applyAlignment="1">
      <alignment horizontal="center" vertical="center"/>
    </xf>
    <xf numFmtId="0" fontId="62" fillId="17" borderId="8" xfId="0" applyFont="1" applyFill="1" applyBorder="1" applyAlignment="1">
      <alignment horizontal="center" vertical="center"/>
    </xf>
    <xf numFmtId="0" fontId="63" fillId="17" borderId="9" xfId="0" applyFont="1" applyFill="1" applyBorder="1" applyAlignment="1">
      <alignment horizontal="center" vertical="center"/>
    </xf>
    <xf numFmtId="0" fontId="63" fillId="17" borderId="8" xfId="0" applyFont="1" applyFill="1" applyBorder="1" applyAlignment="1">
      <alignment horizontal="center" vertical="center"/>
    </xf>
    <xf numFmtId="0" fontId="8" fillId="2" borderId="2" xfId="0" applyFont="1" applyFill="1" applyBorder="1" applyAlignment="1">
      <alignment horizontal="left" vertical="center"/>
    </xf>
    <xf numFmtId="0" fontId="8" fillId="2" borderId="7" xfId="0" applyFont="1" applyFill="1" applyBorder="1" applyAlignment="1">
      <alignment horizontal="left" vertical="center"/>
    </xf>
    <xf numFmtId="0" fontId="8" fillId="2" borderId="9" xfId="0" applyFont="1" applyFill="1" applyBorder="1" applyAlignment="1">
      <alignment horizontal="left" vertical="center"/>
    </xf>
    <xf numFmtId="164" fontId="1" fillId="2" borderId="1" xfId="0" applyNumberFormat="1" applyFont="1" applyFill="1" applyBorder="1" applyAlignment="1">
      <alignment horizontal="center" vertical="center"/>
    </xf>
    <xf numFmtId="0" fontId="63" fillId="17" borderId="2" xfId="0" applyFont="1" applyFill="1" applyBorder="1" applyAlignment="1">
      <alignment horizontal="left" vertical="center"/>
    </xf>
    <xf numFmtId="0" fontId="63" fillId="15" borderId="9" xfId="0" applyFont="1" applyFill="1" applyBorder="1" applyAlignment="1">
      <alignment horizontal="center" vertical="center"/>
    </xf>
    <xf numFmtId="0" fontId="63" fillId="15" borderId="8" xfId="0" applyFont="1" applyFill="1" applyBorder="1" applyAlignment="1">
      <alignment horizontal="center" vertical="center"/>
    </xf>
    <xf numFmtId="0" fontId="8" fillId="2" borderId="1" xfId="0" applyFont="1" applyFill="1" applyBorder="1" applyAlignment="1">
      <alignment horizontal="center" vertical="center"/>
    </xf>
    <xf numFmtId="0" fontId="63" fillId="15" borderId="2" xfId="0" applyFont="1" applyFill="1" applyBorder="1" applyAlignment="1">
      <alignment horizontal="left" vertical="center"/>
    </xf>
    <xf numFmtId="0" fontId="63" fillId="14" borderId="9" xfId="0" applyFont="1" applyFill="1" applyBorder="1" applyAlignment="1">
      <alignment horizontal="center" vertical="center"/>
    </xf>
    <xf numFmtId="0" fontId="63" fillId="14" borderId="8" xfId="0" applyFont="1" applyFill="1" applyBorder="1" applyAlignment="1">
      <alignment horizontal="center" vertical="center"/>
    </xf>
    <xf numFmtId="0" fontId="63" fillId="14" borderId="2" xfId="0" applyFont="1" applyFill="1" applyBorder="1" applyAlignment="1">
      <alignment horizontal="left" vertical="center"/>
    </xf>
    <xf numFmtId="0" fontId="62" fillId="17" borderId="2" xfId="0" applyFont="1" applyFill="1" applyBorder="1" applyAlignment="1">
      <alignment vertical="center"/>
    </xf>
    <xf numFmtId="0" fontId="8" fillId="2" borderId="0" xfId="0" applyFont="1" applyFill="1" applyAlignment="1">
      <alignment horizontal="left" vertical="center"/>
    </xf>
    <xf numFmtId="165" fontId="8" fillId="0" borderId="8" xfId="0" applyNumberFormat="1" applyFont="1" applyBorder="1" applyAlignment="1" applyProtection="1">
      <alignment horizontal="center" vertical="center" wrapText="1"/>
      <protection locked="0"/>
    </xf>
    <xf numFmtId="0" fontId="22" fillId="17" borderId="3" xfId="0" applyFont="1" applyFill="1" applyBorder="1" applyAlignment="1">
      <alignment horizontal="center" vertical="center" wrapText="1" readingOrder="1"/>
    </xf>
    <xf numFmtId="164" fontId="21" fillId="24" borderId="3" xfId="0" applyNumberFormat="1" applyFont="1" applyFill="1" applyBorder="1" applyAlignment="1">
      <alignment horizontal="center" vertical="center" wrapText="1" readingOrder="1"/>
    </xf>
    <xf numFmtId="0" fontId="21" fillId="24" borderId="3" xfId="0" applyFont="1" applyFill="1" applyBorder="1" applyAlignment="1">
      <alignment horizontal="center" vertical="center" wrapText="1" readingOrder="1"/>
    </xf>
    <xf numFmtId="0" fontId="22" fillId="24" borderId="4" xfId="0" applyFont="1" applyFill="1" applyBorder="1" applyAlignment="1">
      <alignment horizontal="center" vertical="center" wrapText="1" readingOrder="1"/>
    </xf>
    <xf numFmtId="0" fontId="22" fillId="25" borderId="3" xfId="0" applyFont="1" applyFill="1" applyBorder="1" applyAlignment="1">
      <alignment horizontal="center" vertical="center" wrapText="1" readingOrder="1"/>
    </xf>
    <xf numFmtId="0" fontId="21" fillId="26" borderId="3" xfId="0" applyFont="1" applyFill="1" applyBorder="1" applyAlignment="1">
      <alignment horizontal="center" vertical="center" wrapText="1" readingOrder="1"/>
    </xf>
    <xf numFmtId="164" fontId="8" fillId="0" borderId="8"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top" wrapText="1"/>
      <protection locked="0"/>
    </xf>
    <xf numFmtId="0" fontId="8" fillId="0" borderId="8" xfId="0" applyFont="1" applyBorder="1" applyAlignment="1" applyProtection="1">
      <alignment horizontal="center" vertical="top" wrapText="1"/>
      <protection locked="0"/>
    </xf>
    <xf numFmtId="0" fontId="0" fillId="0" borderId="0" xfId="0" applyAlignment="1">
      <alignment vertical="top"/>
    </xf>
    <xf numFmtId="0" fontId="8" fillId="0" borderId="1" xfId="0" applyFont="1" applyBorder="1" applyAlignment="1" applyProtection="1">
      <alignment horizontal="left" vertical="top" wrapText="1"/>
      <protection locked="0"/>
    </xf>
    <xf numFmtId="0" fontId="33" fillId="2" borderId="0" xfId="0" applyFont="1" applyFill="1" applyAlignment="1">
      <alignment horizontal="left" vertical="top" wrapText="1"/>
    </xf>
    <xf numFmtId="0" fontId="31" fillId="2" borderId="0" xfId="0" applyFont="1" applyFill="1" applyAlignment="1">
      <alignment horizontal="left" vertical="top" wrapText="1"/>
    </xf>
    <xf numFmtId="0" fontId="31" fillId="2" borderId="0" xfId="0" applyFont="1" applyFill="1" applyAlignment="1">
      <alignment horizontal="left" vertical="top"/>
    </xf>
    <xf numFmtId="0" fontId="61" fillId="18" borderId="0" xfId="0" applyFont="1" applyFill="1" applyAlignment="1">
      <alignment horizontal="center" vertical="center"/>
    </xf>
    <xf numFmtId="0" fontId="61" fillId="19" borderId="0" xfId="0" applyFont="1" applyFill="1" applyAlignment="1">
      <alignment horizontal="center" vertical="center"/>
    </xf>
    <xf numFmtId="0" fontId="61" fillId="20" borderId="0" xfId="0" applyFont="1" applyFill="1" applyAlignment="1">
      <alignment horizontal="center" vertical="center"/>
    </xf>
    <xf numFmtId="0" fontId="61" fillId="21" borderId="0" xfId="0" applyFont="1" applyFill="1" applyAlignment="1">
      <alignment horizontal="center" vertical="center"/>
    </xf>
    <xf numFmtId="0" fontId="64" fillId="2" borderId="0" xfId="0" applyFont="1" applyFill="1" applyAlignment="1">
      <alignment horizontal="left" vertical="center" wrapText="1"/>
    </xf>
    <xf numFmtId="0" fontId="61" fillId="23" borderId="0" xfId="0" applyFont="1" applyFill="1" applyAlignment="1">
      <alignment horizontal="center" vertical="center"/>
    </xf>
    <xf numFmtId="0" fontId="60" fillId="17" borderId="15" xfId="0" applyFont="1" applyFill="1" applyBorder="1" applyAlignment="1">
      <alignment horizontal="left" vertical="center" wrapText="1"/>
    </xf>
    <xf numFmtId="0" fontId="56" fillId="17" borderId="15" xfId="0" applyFont="1" applyFill="1" applyBorder="1" applyAlignment="1">
      <alignment horizontal="left" vertical="center" wrapText="1"/>
    </xf>
    <xf numFmtId="0" fontId="63" fillId="17" borderId="2" xfId="0" applyFont="1" applyFill="1" applyBorder="1" applyAlignment="1">
      <alignment horizontal="center" vertical="center"/>
    </xf>
    <xf numFmtId="0" fontId="63" fillId="17" borderId="7" xfId="0" applyFont="1" applyFill="1" applyBorder="1" applyAlignment="1">
      <alignment horizontal="center" vertical="center"/>
    </xf>
    <xf numFmtId="0" fontId="63" fillId="17" borderId="9" xfId="0" applyFont="1" applyFill="1" applyBorder="1" applyAlignment="1">
      <alignment horizontal="center" vertical="center"/>
    </xf>
    <xf numFmtId="0" fontId="63" fillId="14" borderId="2" xfId="0" applyFont="1" applyFill="1" applyBorder="1" applyAlignment="1">
      <alignment horizontal="center" vertical="center"/>
    </xf>
    <xf numFmtId="0" fontId="63" fillId="14" borderId="7" xfId="0" applyFont="1" applyFill="1" applyBorder="1" applyAlignment="1">
      <alignment horizontal="center" vertical="center"/>
    </xf>
    <xf numFmtId="0" fontId="63" fillId="14" borderId="9" xfId="0" applyFont="1" applyFill="1" applyBorder="1" applyAlignment="1">
      <alignment horizontal="center" vertical="center"/>
    </xf>
    <xf numFmtId="0" fontId="50" fillId="12" borderId="15" xfId="0" quotePrefix="1" applyFont="1" applyFill="1" applyBorder="1" applyAlignment="1">
      <alignment horizontal="left" vertical="center" wrapText="1"/>
    </xf>
    <xf numFmtId="0" fontId="51" fillId="12" borderId="15" xfId="0" applyFont="1" applyFill="1" applyBorder="1" applyAlignment="1">
      <alignment horizontal="left" vertical="center" wrapText="1"/>
    </xf>
    <xf numFmtId="0" fontId="63" fillId="15" borderId="2" xfId="0" applyFont="1" applyFill="1" applyBorder="1" applyAlignment="1">
      <alignment horizontal="center" vertical="center"/>
    </xf>
    <xf numFmtId="0" fontId="63" fillId="15" borderId="7" xfId="0" applyFont="1" applyFill="1" applyBorder="1" applyAlignment="1">
      <alignment horizontal="center" vertical="center"/>
    </xf>
    <xf numFmtId="0" fontId="63" fillId="15" borderId="9" xfId="0" applyFont="1" applyFill="1" applyBorder="1" applyAlignment="1">
      <alignment horizontal="center" vertical="center"/>
    </xf>
    <xf numFmtId="0" fontId="62" fillId="17" borderId="2" xfId="0" applyFont="1" applyFill="1" applyBorder="1" applyAlignment="1">
      <alignment horizontal="center" vertical="center"/>
    </xf>
    <xf numFmtId="0" fontId="62" fillId="17" borderId="7" xfId="0" applyFont="1" applyFill="1" applyBorder="1" applyAlignment="1">
      <alignment horizontal="center" vertical="center"/>
    </xf>
    <xf numFmtId="0" fontId="62" fillId="17" borderId="9" xfId="0" applyFont="1" applyFill="1" applyBorder="1" applyAlignment="1">
      <alignment horizontal="center" vertical="center"/>
    </xf>
    <xf numFmtId="0" fontId="44" fillId="16" borderId="15" xfId="0" quotePrefix="1" applyFont="1" applyFill="1" applyBorder="1" applyAlignment="1">
      <alignment horizontal="left" vertical="center" wrapText="1"/>
    </xf>
    <xf numFmtId="0" fontId="41" fillId="16" borderId="15" xfId="0" applyFont="1" applyFill="1" applyBorder="1" applyAlignment="1">
      <alignment horizontal="left" vertical="center" wrapText="1"/>
    </xf>
    <xf numFmtId="0" fontId="44" fillId="14" borderId="17" xfId="0" quotePrefix="1" applyFont="1" applyFill="1" applyBorder="1" applyAlignment="1">
      <alignment horizontal="left" vertical="center" wrapText="1"/>
    </xf>
    <xf numFmtId="0" fontId="41" fillId="14" borderId="17" xfId="0" applyFont="1" applyFill="1" applyBorder="1" applyAlignment="1">
      <alignment horizontal="left" vertical="center" wrapText="1"/>
    </xf>
    <xf numFmtId="0" fontId="53" fillId="13" borderId="15" xfId="0" quotePrefix="1" applyFont="1" applyFill="1" applyBorder="1" applyAlignment="1">
      <alignment horizontal="left" wrapText="1"/>
    </xf>
    <xf numFmtId="0" fontId="54" fillId="13" borderId="18" xfId="0" quotePrefix="1" applyFont="1" applyFill="1" applyBorder="1" applyAlignment="1">
      <alignment horizontal="left" vertical="top" wrapText="1" indent="1"/>
    </xf>
  </cellXfs>
  <cellStyles count="1">
    <cellStyle name="Normal" xfId="0" builtinId="0"/>
  </cellStyles>
  <dxfs count="115">
    <dxf>
      <font>
        <color theme="0"/>
      </font>
      <fill>
        <patternFill>
          <bgColor rgb="FFC00000"/>
        </patternFill>
      </fill>
    </dxf>
    <dxf>
      <font>
        <color theme="0"/>
      </font>
      <fill>
        <patternFill>
          <bgColor rgb="FFC00000"/>
        </patternFill>
      </fill>
    </dxf>
    <dxf>
      <font>
        <color theme="1"/>
      </font>
      <fill>
        <patternFill>
          <bgColor theme="8" tint="0.7999816888943144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7"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patternType="solid">
          <fgColor indexed="64"/>
          <bgColor theme="0"/>
        </patternFill>
      </fill>
      <alignment horizontal="center" vertical="center" textRotation="0" wrapText="1"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wrapText="1" indent="0" justifyLastLine="0" shrinkToFit="0" readingOrder="0"/>
    </dxf>
    <dxf>
      <fill>
        <patternFill>
          <fgColor indexed="64"/>
          <bgColor theme="0"/>
        </patternFill>
      </fill>
      <alignment horizontal="center" vertical="center" textRotation="0" wrapText="1"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fgColor indexed="64"/>
          <bgColor theme="0"/>
        </patternFill>
      </fill>
      <alignment horizontal="center" vertical="center" textRotation="0" indent="0" justifyLastLine="0" shrinkToFit="0" readingOrder="0"/>
    </dxf>
    <dxf>
      <font>
        <b/>
        <strike val="0"/>
        <outline val="0"/>
        <shadow val="0"/>
        <u val="none"/>
        <vertAlign val="baseline"/>
        <sz val="11"/>
        <color theme="0"/>
        <name val="Calibri"/>
        <family val="2"/>
        <scheme val="minor"/>
      </font>
      <fill>
        <patternFill>
          <fgColor indexed="64"/>
          <bgColor theme="0"/>
        </patternFill>
      </fill>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8"/>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border outline="0">
        <top style="thin">
          <color rgb="FFBFBFBF"/>
        </top>
      </border>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border outline="0">
        <bottom style="thin">
          <color rgb="FFBFBFBF"/>
        </bottom>
      </border>
    </dxf>
    <dxf>
      <font>
        <b/>
        <i val="0"/>
        <strike val="0"/>
        <condense val="0"/>
        <extend val="0"/>
        <outline val="0"/>
        <shadow val="0"/>
        <u val="none"/>
        <vertAlign val="baseline"/>
        <sz val="12"/>
        <color theme="1"/>
        <name val="Calibri Light"/>
        <family val="2"/>
        <scheme val="major"/>
      </font>
      <fill>
        <patternFill patternType="solid">
          <fgColor indexed="64"/>
          <bgColor theme="3" tint="9.9978637043366805E-2"/>
        </patternFill>
      </fill>
      <alignment horizontal="center" vertical="center" textRotation="0" wrapText="1" indent="0" justifyLastLine="0" shrinkToFit="0" readingOrder="1"/>
    </dxf>
    <dxf>
      <font>
        <strike val="0"/>
        <outline val="0"/>
        <shadow val="0"/>
        <u val="none"/>
        <vertAlign val="baseline"/>
        <sz val="12"/>
        <family val="2"/>
      </font>
      <alignment horizontal="center" vertical="center" textRotation="0" wrapText="1" indent="0" justifyLastLine="0" shrinkToFit="0" readingOrder="0"/>
      <protection locked="0" hidden="0"/>
    </dxf>
    <dxf>
      <font>
        <strike val="0"/>
        <outline val="0"/>
        <shadow val="0"/>
        <u val="none"/>
        <vertAlign val="baseline"/>
        <sz val="12"/>
        <family val="2"/>
      </font>
      <alignment horizontal="center" vertical="center" textRotation="0" wrapText="1" indent="0" justifyLastLine="0" shrinkToFit="0" readingOrder="0"/>
      <protection locked="0" hidden="0"/>
    </dxf>
    <dxf>
      <font>
        <strike val="0"/>
        <outline val="0"/>
        <shadow val="0"/>
        <u val="none"/>
        <vertAlign val="baseline"/>
        <sz val="8"/>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4" formatCode="#,##0&quot; k€&quo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numFmt numFmtId="164" formatCode="#,##0&quot; k€&quo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numFmt numFmtId="164" formatCode="#,##0&quot; k€&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tint="0.14999847407452621"/>
        <name val="Calibri Light"/>
        <family val="2"/>
        <scheme val="major"/>
      </font>
      <numFmt numFmtId="0" formatCode="Genera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tint="0.14999847407452621"/>
        <name val="Calibri Light"/>
        <family val="2"/>
        <scheme val="maj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8"/>
        <color theme="1" tint="0.14999847407452621"/>
        <name val="Calibri Light"/>
        <family val="2"/>
        <scheme val="major"/>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right style="thin">
          <color indexed="64"/>
        </right>
        <top style="thin">
          <color indexed="64"/>
        </top>
        <bottom style="thin">
          <color indexed="64"/>
        </bottom>
      </border>
    </dxf>
    <dxf>
      <font>
        <strike val="0"/>
        <outline val="0"/>
        <shadow val="0"/>
        <u val="none"/>
        <vertAlign val="baseline"/>
        <sz val="12"/>
        <family val="2"/>
      </font>
      <alignment horizontal="center"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4"/>
        <color theme="0"/>
        <name val="Calibri Light"/>
        <family val="2"/>
        <scheme val="major"/>
      </font>
      <fill>
        <patternFill patternType="solid">
          <fgColor indexed="64"/>
          <bgColor theme="1" tint="0.499984740745262"/>
        </patternFill>
      </fill>
      <alignment horizontal="center" vertical="center" textRotation="0" wrapText="1" indent="0" justifyLastLine="0" shrinkToFit="0" readingOrder="1"/>
      <border diagonalUp="0" diagonalDown="0">
        <left style="thin">
          <color indexed="64"/>
        </left>
        <right style="thin">
          <color indexed="64"/>
        </right>
        <top/>
        <bottom/>
      </border>
      <protection locked="1" hidden="0"/>
    </dxf>
  </dxfs>
  <tableStyles count="0" defaultTableStyle="TableStyleMedium2" defaultPivotStyle="PivotStyleLight16"/>
  <colors>
    <mruColors>
      <color rgb="FF385FAE"/>
      <color rgb="FFF3A211"/>
      <color rgb="FFF5C40F"/>
      <color rgb="FF227457"/>
      <color rgb="FFFFFFFF"/>
      <color rgb="FFFF6D6D"/>
      <color rgb="FFA87C00"/>
      <color rgb="FF1D654B"/>
      <color rgb="FF227C5C"/>
      <color rgb="FF7A90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 Enveloppe</a:t>
            </a:r>
            <a:r>
              <a:rPr lang="fr-FR" sz="1800" b="1" baseline="0"/>
              <a:t> bâtiment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21F4-4361-AD02-3275A29BDDB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21F4-4361-AD02-3275A29BDDB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2-21F4-4361-AD02-3275A29BDDB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4-21F4-4361-AD02-3275A29BDDB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9-A08E-41E0-B890-53A291D8F2C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PDF'!$B$23:$B$27</c:f>
              <c:strCache>
                <c:ptCount val="5"/>
                <c:pt idx="0">
                  <c:v>Non Applicable</c:v>
                </c:pt>
                <c:pt idx="1">
                  <c:v>A investiguer</c:v>
                </c:pt>
                <c:pt idx="2">
                  <c:v>Préconisé</c:v>
                </c:pt>
                <c:pt idx="3">
                  <c:v>Planifié - Réalisé</c:v>
                </c:pt>
                <c:pt idx="4">
                  <c:v>A renseigner</c:v>
                </c:pt>
              </c:strCache>
            </c:strRef>
          </c:cat>
          <c:val>
            <c:numRef>
              <c:f>'Print PDF'!$C$23:$C$27</c:f>
              <c:numCache>
                <c:formatCode>0" action(s)"</c:formatCode>
                <c:ptCount val="5"/>
                <c:pt idx="0">
                  <c:v>0</c:v>
                </c:pt>
                <c:pt idx="1">
                  <c:v>0</c:v>
                </c:pt>
                <c:pt idx="2">
                  <c:v>0</c:v>
                </c:pt>
                <c:pt idx="3">
                  <c:v>0</c:v>
                </c:pt>
                <c:pt idx="4">
                  <c:v>11</c:v>
                </c:pt>
              </c:numCache>
            </c:numRef>
          </c:val>
          <c:extLst>
            <c:ext xmlns:c16="http://schemas.microsoft.com/office/drawing/2014/chart" uri="{C3380CC4-5D6E-409C-BE32-E72D297353CC}">
              <c16:uniqueId val="{00000000-21F4-4361-AD02-3275A29BDD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10-</a:t>
            </a:r>
            <a:r>
              <a:rPr lang="fr-FR" sz="1800" b="1" baseline="0"/>
              <a:t> Froid alimentaire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3197913504440085"/>
          <c:w val="0.56928193301765284"/>
          <c:h val="0.70459180810057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451F-4587-8C82-2ED003528293}"/>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451F-4587-8C82-2ED003528293}"/>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451F-4587-8C82-2ED003528293}"/>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451F-4587-8C82-2ED003528293}"/>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A55-4C22-98E2-692383AEF66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PDF'!$B$97:$B$101</c:f>
              <c:strCache>
                <c:ptCount val="5"/>
                <c:pt idx="0">
                  <c:v>Non Applicable</c:v>
                </c:pt>
                <c:pt idx="1">
                  <c:v>A investiguer</c:v>
                </c:pt>
                <c:pt idx="2">
                  <c:v>Préconisé</c:v>
                </c:pt>
                <c:pt idx="3">
                  <c:v>Planifié - Réalisé</c:v>
                </c:pt>
                <c:pt idx="4">
                  <c:v>A renseigner</c:v>
                </c:pt>
              </c:strCache>
            </c:strRef>
          </c:cat>
          <c:val>
            <c:numRef>
              <c:f>'Print PDF'!$C$97:$C$101</c:f>
              <c:numCache>
                <c:formatCode>0" action(s)"</c:formatCode>
                <c:ptCount val="5"/>
                <c:pt idx="0">
                  <c:v>0</c:v>
                </c:pt>
                <c:pt idx="1">
                  <c:v>0</c:v>
                </c:pt>
                <c:pt idx="2">
                  <c:v>0</c:v>
                </c:pt>
                <c:pt idx="3">
                  <c:v>0</c:v>
                </c:pt>
                <c:pt idx="4">
                  <c:v>8</c:v>
                </c:pt>
              </c:numCache>
            </c:numRef>
          </c:val>
          <c:extLst>
            <c:ext xmlns:c16="http://schemas.microsoft.com/office/drawing/2014/chart" uri="{C3380CC4-5D6E-409C-BE32-E72D297353CC}">
              <c16:uniqueId val="{0000000A-451F-4587-8C82-2ED00352829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600" b="1"/>
              <a:t>11- Organisation/Communication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1689791411950243"/>
          <c:w val="0.58817066242383653"/>
          <c:h val="0.71967275606251646"/>
        </c:manualLayout>
      </c:layout>
      <c:pieChart>
        <c:varyColors val="1"/>
        <c:ser>
          <c:idx val="0"/>
          <c:order val="0"/>
          <c:spPr>
            <a:solidFill>
              <a:srgbClr val="ADCAEB"/>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55AF-4305-85C1-F31366C1E904}"/>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55AF-4305-85C1-F31366C1E904}"/>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55AF-4305-85C1-F31366C1E904}"/>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55AF-4305-85C1-F31366C1E904}"/>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5F5-4F87-83C9-BB2B4920AD3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PDF'!$F$97:$F$101</c:f>
              <c:strCache>
                <c:ptCount val="5"/>
                <c:pt idx="0">
                  <c:v>Non Applicable</c:v>
                </c:pt>
                <c:pt idx="1">
                  <c:v>A investiguer</c:v>
                </c:pt>
                <c:pt idx="2">
                  <c:v>Préconisé</c:v>
                </c:pt>
                <c:pt idx="3">
                  <c:v>Planifié - Réalisé</c:v>
                </c:pt>
                <c:pt idx="4">
                  <c:v>A renseigner</c:v>
                </c:pt>
              </c:strCache>
            </c:strRef>
          </c:cat>
          <c:val>
            <c:numRef>
              <c:f>'Print PDF'!$G$97:$G$101</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55AF-4305-85C1-F31366C1E90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12- Achats responsables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1248545008790501"/>
          <c:w val="0.59825421922038957"/>
          <c:h val="0.7240855388216515"/>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E605-4A2B-A74D-A2DE3DF37C4D}"/>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E605-4A2B-A74D-A2DE3DF37C4D}"/>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E605-4A2B-A74D-A2DE3DF37C4D}"/>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E605-4A2B-A74D-A2DE3DF37C4D}"/>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05E8-4F16-83EB-1D687BE8839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PDF'!$J$97:$J$101</c:f>
              <c:strCache>
                <c:ptCount val="5"/>
                <c:pt idx="0">
                  <c:v>Non Applicable</c:v>
                </c:pt>
                <c:pt idx="1">
                  <c:v>A investiguer</c:v>
                </c:pt>
                <c:pt idx="2">
                  <c:v>Préconisé</c:v>
                </c:pt>
                <c:pt idx="3">
                  <c:v>Planifié - Réalisé</c:v>
                </c:pt>
                <c:pt idx="4">
                  <c:v>A renseigner</c:v>
                </c:pt>
              </c:strCache>
            </c:strRef>
          </c:cat>
          <c:val>
            <c:numRef>
              <c:f>'Print PDF'!$K$97:$K$101</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E605-4A2B-A74D-A2DE3DF37C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13- Eau</a:t>
            </a:r>
            <a:endParaRPr lang="fr-FR" sz="1800" b="1"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1549-4786-A73B-4D0126C45A24}"/>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1549-4786-A73B-4D0126C45A24}"/>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1549-4786-A73B-4D0126C45A24}"/>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1549-4786-A73B-4D0126C45A24}"/>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9-F5E7-4CE2-A82A-F2B221DC4316}"/>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PDF'!$B$125:$B$129</c:f>
              <c:strCache>
                <c:ptCount val="5"/>
                <c:pt idx="0">
                  <c:v>Non Applicable</c:v>
                </c:pt>
                <c:pt idx="1">
                  <c:v>A investiguer</c:v>
                </c:pt>
                <c:pt idx="2">
                  <c:v>Préconisé</c:v>
                </c:pt>
                <c:pt idx="3">
                  <c:v>Planifié - Réalisé</c:v>
                </c:pt>
                <c:pt idx="4">
                  <c:v>A renseigner</c:v>
                </c:pt>
              </c:strCache>
            </c:strRef>
          </c:cat>
          <c:val>
            <c:numRef>
              <c:f>'Print PDF'!$C$125:$C$129</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1549-4786-A73B-4D0126C45A24}"/>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14- Numérique</a:t>
            </a:r>
            <a:endParaRPr lang="fr-FR" sz="1100" b="1" baseline="0">
              <a:solidFill>
                <a:srgbClr val="C00000"/>
              </a:solidFill>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2ADA-44E8-9006-DE1AC12A2900}"/>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2ADA-44E8-9006-DE1AC12A2900}"/>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2ADA-44E8-9006-DE1AC12A2900}"/>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2ADA-44E8-9006-DE1AC12A2900}"/>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8-5F63-46E3-ACA9-60A8A7251C3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PDF'!$F$125:$F$129</c:f>
              <c:strCache>
                <c:ptCount val="5"/>
                <c:pt idx="0">
                  <c:v>Non Applicable</c:v>
                </c:pt>
                <c:pt idx="1">
                  <c:v>A investiguer</c:v>
                </c:pt>
                <c:pt idx="2">
                  <c:v>Préconisé</c:v>
                </c:pt>
                <c:pt idx="3">
                  <c:v>Planifié - Réalisé</c:v>
                </c:pt>
                <c:pt idx="4">
                  <c:v>A renseigner</c:v>
                </c:pt>
              </c:strCache>
            </c:strRef>
          </c:cat>
          <c:val>
            <c:numRef>
              <c:f>'Print PDF'!$G$125:$G$129</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2ADA-44E8-9006-DE1AC12A2900}"/>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15- Biodiversité</a:t>
            </a:r>
            <a:endParaRPr lang="fr-FR" sz="1500" b="1" baseline="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57B8-427B-A6E2-31C5FA41D660}"/>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57B8-427B-A6E2-31C5FA41D660}"/>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57B8-427B-A6E2-31C5FA41D660}"/>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57B8-427B-A6E2-31C5FA41D660}"/>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8-53CF-47EF-A68D-E45F6894D5B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PDF'!$J$125:$J$129</c:f>
              <c:strCache>
                <c:ptCount val="5"/>
                <c:pt idx="0">
                  <c:v>Non Applicable</c:v>
                </c:pt>
                <c:pt idx="1">
                  <c:v>A investiguer</c:v>
                </c:pt>
                <c:pt idx="2">
                  <c:v>Préconisé</c:v>
                </c:pt>
                <c:pt idx="3">
                  <c:v>Planifié - Réalisé</c:v>
                </c:pt>
                <c:pt idx="4">
                  <c:v>A renseigner</c:v>
                </c:pt>
              </c:strCache>
            </c:strRef>
          </c:cat>
          <c:val>
            <c:numRef>
              <c:f>'Print PDF'!$K$125:$K$129</c:f>
              <c:numCache>
                <c:formatCode>0" action(s)"</c:formatCode>
                <c:ptCount val="5"/>
                <c:pt idx="0">
                  <c:v>0</c:v>
                </c:pt>
                <c:pt idx="1">
                  <c:v>0</c:v>
                </c:pt>
                <c:pt idx="2">
                  <c:v>0</c:v>
                </c:pt>
                <c:pt idx="3">
                  <c:v>0</c:v>
                </c:pt>
                <c:pt idx="4">
                  <c:v>11</c:v>
                </c:pt>
              </c:numCache>
            </c:numRef>
          </c:val>
          <c:extLst>
            <c:ext xmlns:c16="http://schemas.microsoft.com/office/drawing/2014/chart" uri="{C3380CC4-5D6E-409C-BE32-E72D297353CC}">
              <c16:uniqueId val="{00000008-57B8-427B-A6E2-31C5FA41D6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a:t>16- Mobilité</a:t>
            </a:r>
            <a:endParaRPr lang="fr-FR" sz="18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990932481864968"/>
          <c:y val="0.25261262930368994"/>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C840-41FF-AEE2-1B2D47FDD2AB}"/>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C840-41FF-AEE2-1B2D47FDD2AB}"/>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C840-41FF-AEE2-1B2D47FDD2AB}"/>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C840-41FF-AEE2-1B2D47FDD2AB}"/>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83C8-4176-AFB4-962D978C6EBF}"/>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PDF'!$B$153:$B$157</c:f>
              <c:strCache>
                <c:ptCount val="5"/>
                <c:pt idx="0">
                  <c:v>Non Applicable</c:v>
                </c:pt>
                <c:pt idx="1">
                  <c:v>A investiguer</c:v>
                </c:pt>
                <c:pt idx="2">
                  <c:v>Préconisé</c:v>
                </c:pt>
                <c:pt idx="3">
                  <c:v>Planifié - Réalisé</c:v>
                </c:pt>
                <c:pt idx="4">
                  <c:v>A renseigner</c:v>
                </c:pt>
              </c:strCache>
            </c:strRef>
          </c:cat>
          <c:val>
            <c:numRef>
              <c:f>'Print PDF'!$C$153:$C$157</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C840-41FF-AEE2-1B2D47FDD2AB}"/>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17-</a:t>
            </a:r>
            <a:r>
              <a:rPr lang="fr-FR" sz="1500" b="1" baseline="0"/>
              <a:t> </a:t>
            </a:r>
            <a:r>
              <a:rPr lang="fr-FR" sz="1400" b="1" baseline="0"/>
              <a:t>Réduction &amp; gestion des </a:t>
            </a:r>
            <a:r>
              <a:rPr lang="fr-FR" sz="1800" b="1" baseline="0"/>
              <a:t>déchets</a:t>
            </a:r>
            <a:endParaRPr lang="fr-FR" sz="1800" b="1" baseline="0">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8DEC-4EF8-A049-F2E3878FB849}"/>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8DEC-4EF8-A049-F2E3878FB849}"/>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8DEC-4EF8-A049-F2E3878FB849}"/>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8DEC-4EF8-A049-F2E3878FB849}"/>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2BDB-4270-BA87-49C121B9FCAD}"/>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PDF'!$F$153:$F$157</c:f>
              <c:strCache>
                <c:ptCount val="5"/>
                <c:pt idx="0">
                  <c:v>Non Applicable</c:v>
                </c:pt>
                <c:pt idx="1">
                  <c:v>A investiguer</c:v>
                </c:pt>
                <c:pt idx="2">
                  <c:v>Préconisé</c:v>
                </c:pt>
                <c:pt idx="3">
                  <c:v>Planifié - Réalisé</c:v>
                </c:pt>
                <c:pt idx="4">
                  <c:v>A renseigner</c:v>
                </c:pt>
              </c:strCache>
            </c:strRef>
          </c:cat>
          <c:val>
            <c:numRef>
              <c:f>'Print PDF'!$G$153:$G$157</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8DEC-4EF8-A049-F2E3878FB849}"/>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600" b="1" baseline="0"/>
              <a:t>18- Adaptation </a:t>
            </a:r>
            <a:r>
              <a:rPr lang="fr-FR" sz="1800" b="1" baseline="0"/>
              <a:t>risque climatique</a:t>
            </a:r>
            <a:endParaRPr lang="fr-FR" sz="16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79A5-4FFE-82F1-D48856DC3746}"/>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79A5-4FFE-82F1-D48856DC3746}"/>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79A5-4FFE-82F1-D48856DC3746}"/>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79A5-4FFE-82F1-D48856DC3746}"/>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DB5-45B3-878F-4EE6AC9A2FBF}"/>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PDF'!$J$153:$J$157</c:f>
              <c:strCache>
                <c:ptCount val="5"/>
                <c:pt idx="0">
                  <c:v>Non Applicable</c:v>
                </c:pt>
                <c:pt idx="1">
                  <c:v>A investiguer</c:v>
                </c:pt>
                <c:pt idx="2">
                  <c:v>Préconisé</c:v>
                </c:pt>
                <c:pt idx="3">
                  <c:v>Planifié - Réalisé</c:v>
                </c:pt>
                <c:pt idx="4">
                  <c:v>A renseigner</c:v>
                </c:pt>
              </c:strCache>
            </c:strRef>
          </c:cat>
          <c:val>
            <c:numRef>
              <c:f>'Print PDF'!$K$153:$K$157</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79A5-4FFE-82F1-D48856DC37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fr-FR" sz="1800" b="1"/>
              <a:t>19- Autres actions environnementales</a:t>
            </a:r>
            <a:endParaRPr lang="fr-FR" sz="1800" b="1" baseline="0"/>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79FE-4E61-949A-07D34101D534}"/>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79FE-4E61-949A-07D34101D534}"/>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79FE-4E61-949A-07D34101D534}"/>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79FE-4E61-949A-07D34101D534}"/>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14EC-485A-91CD-BF5714DB19A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PDF'!$B$179:$B$183</c:f>
              <c:strCache>
                <c:ptCount val="5"/>
                <c:pt idx="0">
                  <c:v>Non Applicable</c:v>
                </c:pt>
                <c:pt idx="1">
                  <c:v>A investiguer</c:v>
                </c:pt>
                <c:pt idx="2">
                  <c:v>Préconisé</c:v>
                </c:pt>
                <c:pt idx="3">
                  <c:v>Planifié - Réalisé</c:v>
                </c:pt>
                <c:pt idx="4">
                  <c:v>A renseigner</c:v>
                </c:pt>
              </c:strCache>
            </c:strRef>
          </c:cat>
          <c:val>
            <c:numRef>
              <c:f>'Print PDF'!$C$179:$C$183</c:f>
              <c:numCache>
                <c:formatCode>0" action(s)"</c:formatCode>
                <c:ptCount val="5"/>
                <c:pt idx="0">
                  <c:v>0</c:v>
                </c:pt>
                <c:pt idx="1">
                  <c:v>0</c:v>
                </c:pt>
                <c:pt idx="2">
                  <c:v>0</c:v>
                </c:pt>
                <c:pt idx="3">
                  <c:v>0</c:v>
                </c:pt>
                <c:pt idx="4">
                  <c:v>10</c:v>
                </c:pt>
              </c:numCache>
            </c:numRef>
          </c:val>
          <c:extLst>
            <c:ext xmlns:c16="http://schemas.microsoft.com/office/drawing/2014/chart" uri="{C3380CC4-5D6E-409C-BE32-E72D297353CC}">
              <c16:uniqueId val="{00000008-79FE-4E61-949A-07D34101D534}"/>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2- Eclairage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21F4-4361-AD02-3275A29BDDB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21F4-4361-AD02-3275A29BDDB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2-21F4-4361-AD02-3275A29BDDB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4-21F4-4361-AD02-3275A29BDDB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CC6B-4022-B406-7EAF2BCB8E7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PDF'!$F$23:$F$27</c:f>
              <c:strCache>
                <c:ptCount val="5"/>
                <c:pt idx="0">
                  <c:v>Non Applicable</c:v>
                </c:pt>
                <c:pt idx="1">
                  <c:v>A investiguer</c:v>
                </c:pt>
                <c:pt idx="2">
                  <c:v>Préconisé</c:v>
                </c:pt>
                <c:pt idx="3">
                  <c:v>Planifié - Réalisé</c:v>
                </c:pt>
                <c:pt idx="4">
                  <c:v>A renseigner</c:v>
                </c:pt>
              </c:strCache>
            </c:strRef>
          </c:cat>
          <c:val>
            <c:numRef>
              <c:f>'Print PDF'!$G$23:$G$27</c:f>
              <c:numCache>
                <c:formatCode>0" action(s)"</c:formatCode>
                <c:ptCount val="5"/>
                <c:pt idx="0">
                  <c:v>0</c:v>
                </c:pt>
                <c:pt idx="1">
                  <c:v>0</c:v>
                </c:pt>
                <c:pt idx="2">
                  <c:v>0</c:v>
                </c:pt>
                <c:pt idx="3">
                  <c:v>0</c:v>
                </c:pt>
                <c:pt idx="4">
                  <c:v>8</c:v>
                </c:pt>
              </c:numCache>
            </c:numRef>
          </c:val>
          <c:extLst>
            <c:ext xmlns:c16="http://schemas.microsoft.com/office/drawing/2014/chart" uri="{C3380CC4-5D6E-409C-BE32-E72D297353CC}">
              <c16:uniqueId val="{00000000-21F4-4361-AD02-3275A29BDD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3- Réglages CVC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solidFill>
              <a:srgbClr val="ADCAEB"/>
            </a:solidFill>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4EE8-44EA-8622-BC690FAD61B0}"/>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4EE8-44EA-8622-BC690FAD61B0}"/>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4EE8-44EA-8622-BC690FAD61B0}"/>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4EE8-44EA-8622-BC690FAD61B0}"/>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3055-4929-84CC-79F38B1D066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PDF'!$J$23:$J$27</c:f>
              <c:strCache>
                <c:ptCount val="5"/>
                <c:pt idx="0">
                  <c:v>Non Applicable</c:v>
                </c:pt>
                <c:pt idx="1">
                  <c:v>A investiguer</c:v>
                </c:pt>
                <c:pt idx="2">
                  <c:v>Préconisé</c:v>
                </c:pt>
                <c:pt idx="3">
                  <c:v>Planifié - Réalisé</c:v>
                </c:pt>
                <c:pt idx="4">
                  <c:v>A renseigner</c:v>
                </c:pt>
              </c:strCache>
            </c:strRef>
          </c:cat>
          <c:val>
            <c:numRef>
              <c:f>'Print PDF'!$K$23:$K$27</c:f>
              <c:numCache>
                <c:formatCode>0" action(s)"</c:formatCode>
                <c:ptCount val="5"/>
                <c:pt idx="0">
                  <c:v>0</c:v>
                </c:pt>
                <c:pt idx="1">
                  <c:v>0</c:v>
                </c:pt>
                <c:pt idx="2">
                  <c:v>0</c:v>
                </c:pt>
                <c:pt idx="3">
                  <c:v>0</c:v>
                </c:pt>
                <c:pt idx="4">
                  <c:v>12</c:v>
                </c:pt>
              </c:numCache>
            </c:numRef>
          </c:val>
          <c:extLst>
            <c:ext xmlns:c16="http://schemas.microsoft.com/office/drawing/2014/chart" uri="{C3380CC4-5D6E-409C-BE32-E72D297353CC}">
              <c16:uniqueId val="{00000008-4EE8-44EA-8622-BC690FAD61B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4- Maintenance CVC</a:t>
            </a:r>
            <a:endParaRPr lang="fr-FR" sz="1800" b="1"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solidFill>
              <a:schemeClr val="accent6">
                <a:lumMod val="60000"/>
                <a:lumOff val="40000"/>
              </a:schemeClr>
            </a:solidFill>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BE1E-4D03-BAA5-C7884BD9DD1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BE1E-4D03-BAA5-C7884BD9DD1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BE1E-4D03-BAA5-C7884BD9DD1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BE1E-4D03-BAA5-C7884BD9DD1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C2C9-42D1-997E-77C39C2B05D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PDF'!$B$48:$B$52</c:f>
              <c:strCache>
                <c:ptCount val="5"/>
                <c:pt idx="0">
                  <c:v>Non Applicable</c:v>
                </c:pt>
                <c:pt idx="1">
                  <c:v>A investiguer</c:v>
                </c:pt>
                <c:pt idx="2">
                  <c:v>Préconisé</c:v>
                </c:pt>
                <c:pt idx="3">
                  <c:v>Planifié - Réalisé</c:v>
                </c:pt>
                <c:pt idx="4">
                  <c:v>A renseigner</c:v>
                </c:pt>
              </c:strCache>
            </c:strRef>
          </c:cat>
          <c:val>
            <c:numRef>
              <c:f>'Print PDF'!$C$48:$C$52</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A-BE1E-4D03-BAA5-C7884BD9DD1E}"/>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5- Travaux CVC </a:t>
            </a:r>
            <a:r>
              <a:rPr lang="fr-FR" sz="900" b="1" baseline="0">
                <a:solidFill>
                  <a:srgbClr val="C00000"/>
                </a:solidFill>
              </a:rPr>
              <a:t>(hors abandon gaz &amp; fioul)</a:t>
            </a:r>
            <a:endParaRPr lang="fr-FR" sz="1100" b="1" baseline="0">
              <a:solidFill>
                <a:srgbClr val="C00000"/>
              </a:solidFill>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solidFill>
              <a:schemeClr val="accent6">
                <a:lumMod val="60000"/>
                <a:lumOff val="40000"/>
              </a:schemeClr>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B566-45CC-98DD-A50C265E3D42}"/>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B566-45CC-98DD-A50C265E3D42}"/>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B566-45CC-98DD-A50C265E3D42}"/>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B566-45CC-98DD-A50C265E3D42}"/>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29F7-4CBD-9270-0D489A882FD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PDF'!$F$48:$F$52</c:f>
              <c:strCache>
                <c:ptCount val="5"/>
                <c:pt idx="0">
                  <c:v>Non Applicable</c:v>
                </c:pt>
                <c:pt idx="1">
                  <c:v>A investiguer</c:v>
                </c:pt>
                <c:pt idx="2">
                  <c:v>Préconisé</c:v>
                </c:pt>
                <c:pt idx="3">
                  <c:v>Planifié - Réalisé</c:v>
                </c:pt>
                <c:pt idx="4">
                  <c:v>A renseigner</c:v>
                </c:pt>
              </c:strCache>
            </c:strRef>
          </c:cat>
          <c:val>
            <c:numRef>
              <c:f>'Print PDF'!$G$48:$G$52</c:f>
              <c:numCache>
                <c:formatCode>0" action(s)"</c:formatCode>
                <c:ptCount val="5"/>
                <c:pt idx="0">
                  <c:v>0</c:v>
                </c:pt>
                <c:pt idx="1">
                  <c:v>0</c:v>
                </c:pt>
                <c:pt idx="2">
                  <c:v>0</c:v>
                </c:pt>
                <c:pt idx="3">
                  <c:v>0</c:v>
                </c:pt>
                <c:pt idx="4">
                  <c:v>12</c:v>
                </c:pt>
              </c:numCache>
            </c:numRef>
          </c:val>
          <c:extLst>
            <c:ext xmlns:c16="http://schemas.microsoft.com/office/drawing/2014/chart" uri="{C3380CC4-5D6E-409C-BE32-E72D297353CC}">
              <c16:uniqueId val="{00000008-B566-45CC-98DD-A50C265E3D42}"/>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6- EnR </a:t>
            </a:r>
            <a:r>
              <a:rPr lang="fr-FR" sz="1500" b="1" baseline="0"/>
              <a:t>/ </a:t>
            </a:r>
            <a:r>
              <a:rPr lang="fr-FR" sz="1400" b="1" baseline="0"/>
              <a:t>Abandon énergies fossiles</a:t>
            </a:r>
            <a:endParaRPr lang="fr-FR" sz="1500" b="1" baseline="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solidFill>
              <a:schemeClr val="accent1">
                <a:lumMod val="20000"/>
                <a:lumOff val="80000"/>
              </a:schemeClr>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0B86-40DE-8731-580A0F7DC3DB}"/>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0B86-40DE-8731-580A0F7DC3DB}"/>
              </c:ext>
            </c:extLst>
          </c:dPt>
          <c:dPt>
            <c:idx val="2"/>
            <c:bubble3D val="0"/>
            <c:spPr>
              <a:solidFill>
                <a:schemeClr val="accent6">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5-0B86-40DE-8731-580A0F7DC3DB}"/>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0B86-40DE-8731-580A0F7DC3DB}"/>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242-4692-8DE5-3DF74DB0575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PDF'!$J$48:$J$52</c:f>
              <c:strCache>
                <c:ptCount val="5"/>
                <c:pt idx="0">
                  <c:v>Non Applicable</c:v>
                </c:pt>
                <c:pt idx="1">
                  <c:v>A investiguer</c:v>
                </c:pt>
                <c:pt idx="2">
                  <c:v>Préconisé</c:v>
                </c:pt>
                <c:pt idx="3">
                  <c:v>Planifié - Réalisé</c:v>
                </c:pt>
                <c:pt idx="4">
                  <c:v>A renseigner</c:v>
                </c:pt>
              </c:strCache>
            </c:strRef>
          </c:cat>
          <c:val>
            <c:numRef>
              <c:f>'Print PDF'!$K$48:$K$52</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0B86-40DE-8731-580A0F7DC3D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a:t>7- Eau chaude sanitaire</a:t>
            </a:r>
            <a:endParaRPr lang="fr-FR" sz="18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5BD4-456A-B91E-6587A6F8397C}"/>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5BD4-456A-B91E-6587A6F8397C}"/>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5BD4-456A-B91E-6587A6F8397C}"/>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5BD4-456A-B91E-6587A6F8397C}"/>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21F-4E0D-9F38-75F7F1127BD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PDF'!$B$73:$B$77</c:f>
              <c:strCache>
                <c:ptCount val="5"/>
                <c:pt idx="0">
                  <c:v>Non Applicable</c:v>
                </c:pt>
                <c:pt idx="1">
                  <c:v>A investiguer</c:v>
                </c:pt>
                <c:pt idx="2">
                  <c:v>Préconisé</c:v>
                </c:pt>
                <c:pt idx="3">
                  <c:v>Planifié - Réalisé</c:v>
                </c:pt>
                <c:pt idx="4">
                  <c:v>A renseigner</c:v>
                </c:pt>
              </c:strCache>
            </c:strRef>
          </c:cat>
          <c:val>
            <c:numRef>
              <c:f>'Print PDF'!$C$73:$C$77</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5BD4-456A-B91E-6587A6F8397C}"/>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8- Comptage &amp; suivi conso</a:t>
            </a:r>
          </a:p>
          <a:p>
            <a:pPr>
              <a:defRPr b="1"/>
            </a:pPr>
            <a:r>
              <a:rPr lang="fr-FR" sz="900" b="1" baseline="0">
                <a:solidFill>
                  <a:srgbClr val="C00000"/>
                </a:solidFill>
              </a:rPr>
              <a:t>énergie / eau</a:t>
            </a:r>
            <a:endParaRPr lang="fr-FR" sz="1800" b="1" baseline="0">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80D3-4C64-A1E0-B9F70AB3E737}"/>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80D3-4C64-A1E0-B9F70AB3E737}"/>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80D3-4C64-A1E0-B9F70AB3E737}"/>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80D3-4C64-A1E0-B9F70AB3E737}"/>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0A6F-457C-84D0-B09DB4D8A14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PDF'!$F$73:$F$77</c:f>
              <c:strCache>
                <c:ptCount val="5"/>
                <c:pt idx="0">
                  <c:v>Non Applicable</c:v>
                </c:pt>
                <c:pt idx="1">
                  <c:v>A investiguer</c:v>
                </c:pt>
                <c:pt idx="2">
                  <c:v>Préconisé</c:v>
                </c:pt>
                <c:pt idx="3">
                  <c:v>Planifié - Réalisé</c:v>
                </c:pt>
                <c:pt idx="4">
                  <c:v>A renseigner</c:v>
                </c:pt>
              </c:strCache>
            </c:strRef>
          </c:cat>
          <c:val>
            <c:numRef>
              <c:f>'Print PDF'!$G$73:$G$77</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80D3-4C64-A1E0-B9F70AB3E737}"/>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9- BACS / gtb</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6A13-44B3-93A9-7C390C084C28}"/>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6A13-44B3-93A9-7C390C084C28}"/>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6A13-44B3-93A9-7C390C084C28}"/>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6A13-44B3-93A9-7C390C084C28}"/>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4E6-4926-B734-BD555A5E835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PDF'!$J$73:$J$77</c:f>
              <c:strCache>
                <c:ptCount val="5"/>
                <c:pt idx="0">
                  <c:v>Non Applicable</c:v>
                </c:pt>
                <c:pt idx="1">
                  <c:v>A investiguer</c:v>
                </c:pt>
                <c:pt idx="2">
                  <c:v>Préconisé</c:v>
                </c:pt>
                <c:pt idx="3">
                  <c:v>Planifié - Réalisé</c:v>
                </c:pt>
                <c:pt idx="4">
                  <c:v>A renseigner</c:v>
                </c:pt>
              </c:strCache>
            </c:strRef>
          </c:cat>
          <c:val>
            <c:numRef>
              <c:f>'Print PDF'!$K$73:$K$77</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6A13-44B3-93A9-7C390C084C2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image" Target="../media/image3.pn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image" Target="../media/image6.pn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image" Target="../media/image5.png"/><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6927</xdr:colOff>
      <xdr:row>1</xdr:row>
      <xdr:rowOff>19050</xdr:rowOff>
    </xdr:from>
    <xdr:to>
      <xdr:col>12</xdr:col>
      <xdr:colOff>524562</xdr:colOff>
      <xdr:row>1</xdr:row>
      <xdr:rowOff>3001005</xdr:rowOff>
    </xdr:to>
    <xdr:pic>
      <xdr:nvPicPr>
        <xdr:cNvPr id="9" name="Image 8">
          <a:extLst>
            <a:ext uri="{FF2B5EF4-FFF2-40B4-BE49-F238E27FC236}">
              <a16:creationId xmlns:a16="http://schemas.microsoft.com/office/drawing/2014/main" id="{E2581219-0794-3FBE-7076-5892C06A5582}"/>
            </a:ext>
          </a:extLst>
        </xdr:cNvPr>
        <xdr:cNvPicPr>
          <a:picLocks noChangeAspect="1"/>
        </xdr:cNvPicPr>
      </xdr:nvPicPr>
      <xdr:blipFill>
        <a:blip xmlns:r="http://schemas.openxmlformats.org/officeDocument/2006/relationships" r:embed="rId1"/>
        <a:stretch>
          <a:fillRect/>
        </a:stretch>
      </xdr:blipFill>
      <xdr:spPr>
        <a:xfrm>
          <a:off x="184727" y="273050"/>
          <a:ext cx="8429735" cy="2981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4</xdr:row>
      <xdr:rowOff>15240</xdr:rowOff>
    </xdr:from>
    <xdr:to>
      <xdr:col>3</xdr:col>
      <xdr:colOff>899160</xdr:colOff>
      <xdr:row>21</xdr:row>
      <xdr:rowOff>144780</xdr:rowOff>
    </xdr:to>
    <xdr:graphicFrame macro="">
      <xdr:nvGraphicFramePr>
        <xdr:cNvPr id="22" name="Graphique 1">
          <a:extLst>
            <a:ext uri="{FF2B5EF4-FFF2-40B4-BE49-F238E27FC236}">
              <a16:creationId xmlns:a16="http://schemas.microsoft.com/office/drawing/2014/main" id="{B3F3D0EE-18C7-3C0F-57CD-69CFD3AEC9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4</xdr:row>
      <xdr:rowOff>7620</xdr:rowOff>
    </xdr:from>
    <xdr:to>
      <xdr:col>7</xdr:col>
      <xdr:colOff>898320</xdr:colOff>
      <xdr:row>21</xdr:row>
      <xdr:rowOff>138660</xdr:rowOff>
    </xdr:to>
    <xdr:graphicFrame macro="">
      <xdr:nvGraphicFramePr>
        <xdr:cNvPr id="24" name="Graphique 4">
          <a:extLst>
            <a:ext uri="{FF2B5EF4-FFF2-40B4-BE49-F238E27FC236}">
              <a16:creationId xmlns:a16="http://schemas.microsoft.com/office/drawing/2014/main" id="{235137D4-C75B-ECE7-0C13-CD804028F1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38100</xdr:colOff>
      <xdr:row>4</xdr:row>
      <xdr:rowOff>11430</xdr:rowOff>
    </xdr:from>
    <xdr:to>
      <xdr:col>11</xdr:col>
      <xdr:colOff>898320</xdr:colOff>
      <xdr:row>21</xdr:row>
      <xdr:rowOff>142470</xdr:rowOff>
    </xdr:to>
    <xdr:graphicFrame macro="">
      <xdr:nvGraphicFramePr>
        <xdr:cNvPr id="21" name="Graphique 5">
          <a:extLst>
            <a:ext uri="{FF2B5EF4-FFF2-40B4-BE49-F238E27FC236}">
              <a16:creationId xmlns:a16="http://schemas.microsoft.com/office/drawing/2014/main" id="{C295F013-46AA-43D4-8533-EA61CB75D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29</xdr:row>
      <xdr:rowOff>8106</xdr:rowOff>
    </xdr:from>
    <xdr:to>
      <xdr:col>4</xdr:col>
      <xdr:colOff>-1</xdr:colOff>
      <xdr:row>46</xdr:row>
      <xdr:rowOff>144780</xdr:rowOff>
    </xdr:to>
    <xdr:graphicFrame macro="">
      <xdr:nvGraphicFramePr>
        <xdr:cNvPr id="20" name="Graphique 2">
          <a:extLst>
            <a:ext uri="{FF2B5EF4-FFF2-40B4-BE49-F238E27FC236}">
              <a16:creationId xmlns:a16="http://schemas.microsoft.com/office/drawing/2014/main" id="{1C015629-105B-4A0A-B070-4DABCB4E8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38100</xdr:colOff>
      <xdr:row>29</xdr:row>
      <xdr:rowOff>7620</xdr:rowOff>
    </xdr:from>
    <xdr:to>
      <xdr:col>7</xdr:col>
      <xdr:colOff>898320</xdr:colOff>
      <xdr:row>46</xdr:row>
      <xdr:rowOff>138660</xdr:rowOff>
    </xdr:to>
    <xdr:graphicFrame macro="">
      <xdr:nvGraphicFramePr>
        <xdr:cNvPr id="25" name="Graphique 3">
          <a:extLst>
            <a:ext uri="{FF2B5EF4-FFF2-40B4-BE49-F238E27FC236}">
              <a16:creationId xmlns:a16="http://schemas.microsoft.com/office/drawing/2014/main" id="{63206593-5F4F-47D4-BD95-BE1726EE7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38100</xdr:colOff>
      <xdr:row>29</xdr:row>
      <xdr:rowOff>11430</xdr:rowOff>
    </xdr:from>
    <xdr:to>
      <xdr:col>11</xdr:col>
      <xdr:colOff>898320</xdr:colOff>
      <xdr:row>46</xdr:row>
      <xdr:rowOff>142470</xdr:rowOff>
    </xdr:to>
    <xdr:graphicFrame macro="">
      <xdr:nvGraphicFramePr>
        <xdr:cNvPr id="27" name="Graphique 6">
          <a:extLst>
            <a:ext uri="{FF2B5EF4-FFF2-40B4-BE49-F238E27FC236}">
              <a16:creationId xmlns:a16="http://schemas.microsoft.com/office/drawing/2014/main" id="{2A43EA04-6492-4D07-9B4B-B7D4AD69E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54</xdr:row>
      <xdr:rowOff>15240</xdr:rowOff>
    </xdr:from>
    <xdr:to>
      <xdr:col>3</xdr:col>
      <xdr:colOff>899160</xdr:colOff>
      <xdr:row>71</xdr:row>
      <xdr:rowOff>144780</xdr:rowOff>
    </xdr:to>
    <xdr:graphicFrame macro="">
      <xdr:nvGraphicFramePr>
        <xdr:cNvPr id="26" name="Graphique 7">
          <a:extLst>
            <a:ext uri="{FF2B5EF4-FFF2-40B4-BE49-F238E27FC236}">
              <a16:creationId xmlns:a16="http://schemas.microsoft.com/office/drawing/2014/main" id="{FD0D24B1-4875-41E7-822E-E7764FA12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54</xdr:row>
      <xdr:rowOff>7620</xdr:rowOff>
    </xdr:from>
    <xdr:to>
      <xdr:col>7</xdr:col>
      <xdr:colOff>898320</xdr:colOff>
      <xdr:row>71</xdr:row>
      <xdr:rowOff>138660</xdr:rowOff>
    </xdr:to>
    <xdr:graphicFrame macro="">
      <xdr:nvGraphicFramePr>
        <xdr:cNvPr id="23" name="Graphique 8">
          <a:extLst>
            <a:ext uri="{FF2B5EF4-FFF2-40B4-BE49-F238E27FC236}">
              <a16:creationId xmlns:a16="http://schemas.microsoft.com/office/drawing/2014/main" id="{BD436E92-65CD-4B91-853C-9B39F1575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38100</xdr:colOff>
      <xdr:row>54</xdr:row>
      <xdr:rowOff>11430</xdr:rowOff>
    </xdr:from>
    <xdr:to>
      <xdr:col>11</xdr:col>
      <xdr:colOff>898320</xdr:colOff>
      <xdr:row>71</xdr:row>
      <xdr:rowOff>142470</xdr:rowOff>
    </xdr:to>
    <xdr:graphicFrame macro="">
      <xdr:nvGraphicFramePr>
        <xdr:cNvPr id="28" name="Graphique 9">
          <a:extLst>
            <a:ext uri="{FF2B5EF4-FFF2-40B4-BE49-F238E27FC236}">
              <a16:creationId xmlns:a16="http://schemas.microsoft.com/office/drawing/2014/main" id="{0762B565-14F2-4B6D-9372-C635B7882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78</xdr:row>
      <xdr:rowOff>15240</xdr:rowOff>
    </xdr:from>
    <xdr:to>
      <xdr:col>3</xdr:col>
      <xdr:colOff>899160</xdr:colOff>
      <xdr:row>95</xdr:row>
      <xdr:rowOff>144780</xdr:rowOff>
    </xdr:to>
    <xdr:graphicFrame macro="">
      <xdr:nvGraphicFramePr>
        <xdr:cNvPr id="30" name="Graphique 10">
          <a:extLst>
            <a:ext uri="{FF2B5EF4-FFF2-40B4-BE49-F238E27FC236}">
              <a16:creationId xmlns:a16="http://schemas.microsoft.com/office/drawing/2014/main" id="{C3357D25-05A4-49B7-B0D0-58CDF9FB6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38100</xdr:colOff>
      <xdr:row>78</xdr:row>
      <xdr:rowOff>7620</xdr:rowOff>
    </xdr:from>
    <xdr:to>
      <xdr:col>7</xdr:col>
      <xdr:colOff>898320</xdr:colOff>
      <xdr:row>95</xdr:row>
      <xdr:rowOff>138660</xdr:rowOff>
    </xdr:to>
    <xdr:graphicFrame macro="">
      <xdr:nvGraphicFramePr>
        <xdr:cNvPr id="12" name="Graphique 11">
          <a:extLst>
            <a:ext uri="{FF2B5EF4-FFF2-40B4-BE49-F238E27FC236}">
              <a16:creationId xmlns:a16="http://schemas.microsoft.com/office/drawing/2014/main" id="{BE1DE713-DE3A-487C-8B8E-CE6F5F215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38100</xdr:colOff>
      <xdr:row>78</xdr:row>
      <xdr:rowOff>11430</xdr:rowOff>
    </xdr:from>
    <xdr:to>
      <xdr:col>11</xdr:col>
      <xdr:colOff>898320</xdr:colOff>
      <xdr:row>95</xdr:row>
      <xdr:rowOff>142470</xdr:rowOff>
    </xdr:to>
    <xdr:graphicFrame macro="">
      <xdr:nvGraphicFramePr>
        <xdr:cNvPr id="13" name="Graphique 12">
          <a:extLst>
            <a:ext uri="{FF2B5EF4-FFF2-40B4-BE49-F238E27FC236}">
              <a16:creationId xmlns:a16="http://schemas.microsoft.com/office/drawing/2014/main" id="{C63B069F-C7BD-4D7F-B4C5-0F475AC79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106</xdr:row>
      <xdr:rowOff>22860</xdr:rowOff>
    </xdr:from>
    <xdr:to>
      <xdr:col>3</xdr:col>
      <xdr:colOff>899160</xdr:colOff>
      <xdr:row>123</xdr:row>
      <xdr:rowOff>152400</xdr:rowOff>
    </xdr:to>
    <xdr:graphicFrame macro="">
      <xdr:nvGraphicFramePr>
        <xdr:cNvPr id="14" name="Graphique 13">
          <a:extLst>
            <a:ext uri="{FF2B5EF4-FFF2-40B4-BE49-F238E27FC236}">
              <a16:creationId xmlns:a16="http://schemas.microsoft.com/office/drawing/2014/main" id="{75FDCF24-F3B4-402B-B36D-813E5CD53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106</xdr:row>
      <xdr:rowOff>7620</xdr:rowOff>
    </xdr:from>
    <xdr:to>
      <xdr:col>7</xdr:col>
      <xdr:colOff>898320</xdr:colOff>
      <xdr:row>123</xdr:row>
      <xdr:rowOff>138660</xdr:rowOff>
    </xdr:to>
    <xdr:graphicFrame macro="">
      <xdr:nvGraphicFramePr>
        <xdr:cNvPr id="15" name="Graphique 14">
          <a:extLst>
            <a:ext uri="{FF2B5EF4-FFF2-40B4-BE49-F238E27FC236}">
              <a16:creationId xmlns:a16="http://schemas.microsoft.com/office/drawing/2014/main" id="{BED76348-2235-4B7C-AF89-67A0EF8CB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38100</xdr:colOff>
      <xdr:row>106</xdr:row>
      <xdr:rowOff>11430</xdr:rowOff>
    </xdr:from>
    <xdr:to>
      <xdr:col>11</xdr:col>
      <xdr:colOff>898320</xdr:colOff>
      <xdr:row>123</xdr:row>
      <xdr:rowOff>142470</xdr:rowOff>
    </xdr:to>
    <xdr:graphicFrame macro="">
      <xdr:nvGraphicFramePr>
        <xdr:cNvPr id="16" name="Graphique 15">
          <a:extLst>
            <a:ext uri="{FF2B5EF4-FFF2-40B4-BE49-F238E27FC236}">
              <a16:creationId xmlns:a16="http://schemas.microsoft.com/office/drawing/2014/main" id="{A079C652-9A5A-42AC-8145-17E1F24C9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134</xdr:row>
      <xdr:rowOff>15240</xdr:rowOff>
    </xdr:from>
    <xdr:to>
      <xdr:col>3</xdr:col>
      <xdr:colOff>899160</xdr:colOff>
      <xdr:row>151</xdr:row>
      <xdr:rowOff>144780</xdr:rowOff>
    </xdr:to>
    <xdr:graphicFrame macro="">
      <xdr:nvGraphicFramePr>
        <xdr:cNvPr id="17" name="Graphique 16">
          <a:extLst>
            <a:ext uri="{FF2B5EF4-FFF2-40B4-BE49-F238E27FC236}">
              <a16:creationId xmlns:a16="http://schemas.microsoft.com/office/drawing/2014/main" id="{7C0B5094-0AE9-4091-8532-C7DFABB0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38100</xdr:colOff>
      <xdr:row>134</xdr:row>
      <xdr:rowOff>15240</xdr:rowOff>
    </xdr:from>
    <xdr:to>
      <xdr:col>7</xdr:col>
      <xdr:colOff>898320</xdr:colOff>
      <xdr:row>151</xdr:row>
      <xdr:rowOff>146280</xdr:rowOff>
    </xdr:to>
    <xdr:graphicFrame macro="">
      <xdr:nvGraphicFramePr>
        <xdr:cNvPr id="18" name="Graphique 17">
          <a:extLst>
            <a:ext uri="{FF2B5EF4-FFF2-40B4-BE49-F238E27FC236}">
              <a16:creationId xmlns:a16="http://schemas.microsoft.com/office/drawing/2014/main" id="{84F136D8-7167-4F96-B849-B349655AD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38100</xdr:colOff>
      <xdr:row>134</xdr:row>
      <xdr:rowOff>11430</xdr:rowOff>
    </xdr:from>
    <xdr:to>
      <xdr:col>11</xdr:col>
      <xdr:colOff>898320</xdr:colOff>
      <xdr:row>151</xdr:row>
      <xdr:rowOff>142470</xdr:rowOff>
    </xdr:to>
    <xdr:graphicFrame macro="">
      <xdr:nvGraphicFramePr>
        <xdr:cNvPr id="19" name="Graphique 18">
          <a:extLst>
            <a:ext uri="{FF2B5EF4-FFF2-40B4-BE49-F238E27FC236}">
              <a16:creationId xmlns:a16="http://schemas.microsoft.com/office/drawing/2014/main" id="{7D367C14-6793-48B5-BE8C-D42FA9B39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38100</xdr:colOff>
      <xdr:row>159</xdr:row>
      <xdr:rowOff>83820</xdr:rowOff>
    </xdr:from>
    <xdr:to>
      <xdr:col>3</xdr:col>
      <xdr:colOff>899160</xdr:colOff>
      <xdr:row>177</xdr:row>
      <xdr:rowOff>83127</xdr:rowOff>
    </xdr:to>
    <xdr:graphicFrame macro="">
      <xdr:nvGraphicFramePr>
        <xdr:cNvPr id="34" name="Graphique 33">
          <a:extLst>
            <a:ext uri="{FF2B5EF4-FFF2-40B4-BE49-F238E27FC236}">
              <a16:creationId xmlns:a16="http://schemas.microsoft.com/office/drawing/2014/main" id="{861F5DC8-4925-4281-BE33-79057C8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7</xdr:col>
      <xdr:colOff>805132</xdr:colOff>
      <xdr:row>210</xdr:row>
      <xdr:rowOff>167448</xdr:rowOff>
    </xdr:from>
    <xdr:to>
      <xdr:col>11</xdr:col>
      <xdr:colOff>1164566</xdr:colOff>
      <xdr:row>214</xdr:row>
      <xdr:rowOff>442145</xdr:rowOff>
    </xdr:to>
    <xdr:pic>
      <xdr:nvPicPr>
        <xdr:cNvPr id="11" name="Image 10">
          <a:extLst>
            <a:ext uri="{FF2B5EF4-FFF2-40B4-BE49-F238E27FC236}">
              <a16:creationId xmlns:a16="http://schemas.microsoft.com/office/drawing/2014/main" id="{E1FDE75E-9BD9-5300-C127-7F691F1C9B25}"/>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3067" t="13673" r="12535"/>
        <a:stretch/>
      </xdr:blipFill>
      <xdr:spPr>
        <a:xfrm>
          <a:off x="7778151" y="56052240"/>
          <a:ext cx="4226943" cy="4544773"/>
        </a:xfrm>
        <a:prstGeom prst="rect">
          <a:avLst/>
        </a:prstGeom>
      </xdr:spPr>
    </xdr:pic>
    <xdr:clientData/>
  </xdr:twoCellAnchor>
  <xdr:twoCellAnchor editAs="oneCell">
    <xdr:from>
      <xdr:col>5</xdr:col>
      <xdr:colOff>80539</xdr:colOff>
      <xdr:row>178</xdr:row>
      <xdr:rowOff>158150</xdr:rowOff>
    </xdr:from>
    <xdr:to>
      <xdr:col>12</xdr:col>
      <xdr:colOff>14385</xdr:colOff>
      <xdr:row>187</xdr:row>
      <xdr:rowOff>372845</xdr:rowOff>
    </xdr:to>
    <xdr:pic>
      <xdr:nvPicPr>
        <xdr:cNvPr id="2" name="Image 1" descr="Une image contenant pixel&#10;&#10;Le contenu généré par l’IA peut être incorrect.">
          <a:extLst>
            <a:ext uri="{FF2B5EF4-FFF2-40B4-BE49-F238E27FC236}">
              <a16:creationId xmlns:a16="http://schemas.microsoft.com/office/drawing/2014/main" id="{B0BE636A-1C87-6836-37F5-9F7E4B625D32}"/>
            </a:ext>
          </a:extLst>
        </xdr:cNvPr>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9861" r="10169"/>
        <a:stretch/>
      </xdr:blipFill>
      <xdr:spPr>
        <a:xfrm>
          <a:off x="5126992" y="42010641"/>
          <a:ext cx="7237544" cy="4844204"/>
        </a:xfrm>
        <a:prstGeom prst="rect">
          <a:avLst/>
        </a:prstGeom>
      </xdr:spPr>
    </xdr:pic>
    <xdr:clientData/>
  </xdr:twoCellAnchor>
  <xdr:twoCellAnchor editAs="oneCell">
    <xdr:from>
      <xdr:col>7</xdr:col>
      <xdr:colOff>402566</xdr:colOff>
      <xdr:row>0</xdr:row>
      <xdr:rowOff>57510</xdr:rowOff>
    </xdr:from>
    <xdr:to>
      <xdr:col>12</xdr:col>
      <xdr:colOff>345056</xdr:colOff>
      <xdr:row>4</xdr:row>
      <xdr:rowOff>158151</xdr:rowOff>
    </xdr:to>
    <xdr:pic>
      <xdr:nvPicPr>
        <xdr:cNvPr id="7" name="Image 6" descr="Une image contenant dessin humoristique, clipart, Graphique, illustration&#10;&#10;Le contenu généré par l’IA peut être incorrect.">
          <a:extLst>
            <a:ext uri="{FF2B5EF4-FFF2-40B4-BE49-F238E27FC236}">
              <a16:creationId xmlns:a16="http://schemas.microsoft.com/office/drawing/2014/main" id="{A87B80A3-07E1-1064-49A1-E7296F0F31AD}"/>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20811"/>
        <a:stretch/>
      </xdr:blipFill>
      <xdr:spPr>
        <a:xfrm>
          <a:off x="7375585" y="57510"/>
          <a:ext cx="5319622" cy="4212566"/>
        </a:xfrm>
        <a:prstGeom prst="rect">
          <a:avLst/>
        </a:prstGeom>
      </xdr:spPr>
    </xdr:pic>
    <xdr:clientData/>
  </xdr:twoCellAnchor>
  <xdr:twoCellAnchor editAs="oneCell">
    <xdr:from>
      <xdr:col>5</xdr:col>
      <xdr:colOff>718868</xdr:colOff>
      <xdr:row>281</xdr:row>
      <xdr:rowOff>143774</xdr:rowOff>
    </xdr:from>
    <xdr:to>
      <xdr:col>11</xdr:col>
      <xdr:colOff>1408986</xdr:colOff>
      <xdr:row>283</xdr:row>
      <xdr:rowOff>474453</xdr:rowOff>
    </xdr:to>
    <xdr:pic>
      <xdr:nvPicPr>
        <xdr:cNvPr id="8" name="Image 7" descr="Une image contenant Graphique, clipart, dessin humoristique, art&#10;&#10;Le contenu généré par l’IA peut être incorrect.">
          <a:extLst>
            <a:ext uri="{FF2B5EF4-FFF2-40B4-BE49-F238E27FC236}">
              <a16:creationId xmlns:a16="http://schemas.microsoft.com/office/drawing/2014/main" id="{E7C225D9-203A-FCAB-C724-3D06EFAC5CA9}"/>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21951"/>
        <a:stretch/>
      </xdr:blipFill>
      <xdr:spPr>
        <a:xfrm>
          <a:off x="5765321" y="94516755"/>
          <a:ext cx="6484193" cy="5060830"/>
        </a:xfrm>
        <a:prstGeom prst="rect">
          <a:avLst/>
        </a:prstGeom>
      </xdr:spPr>
    </xdr:pic>
    <xdr:clientData/>
  </xdr:twoCellAnchor>
  <xdr:twoCellAnchor editAs="oneCell">
    <xdr:from>
      <xdr:col>4</xdr:col>
      <xdr:colOff>671628</xdr:colOff>
      <xdr:row>246</xdr:row>
      <xdr:rowOff>359434</xdr:rowOff>
    </xdr:from>
    <xdr:to>
      <xdr:col>11</xdr:col>
      <xdr:colOff>1466488</xdr:colOff>
      <xdr:row>250</xdr:row>
      <xdr:rowOff>612637</xdr:rowOff>
    </xdr:to>
    <xdr:pic>
      <xdr:nvPicPr>
        <xdr:cNvPr id="3" name="Image 2" descr="Une image contenant dessin humoristique, habits, art, illustration&#10;&#10;Le contenu généré par l’IA peut être incorrect.">
          <a:extLst>
            <a:ext uri="{FF2B5EF4-FFF2-40B4-BE49-F238E27FC236}">
              <a16:creationId xmlns:a16="http://schemas.microsoft.com/office/drawing/2014/main" id="{A5E090BD-DBC6-5F52-CE5E-93D47CA669D1}"/>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r="7301"/>
        <a:stretch/>
      </xdr:blipFill>
      <xdr:spPr>
        <a:xfrm>
          <a:off x="4783553" y="76386906"/>
          <a:ext cx="7523463" cy="45089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ED8C40-45AB-4C87-94D4-35BD270C8830}" name="Actions" displayName="Actions" ref="A1:AE161" totalsRowShown="0" headerRowDxfId="114" dataDxfId="112" headerRowBorderDxfId="113" tableBorderDxfId="111">
  <autoFilter ref="A1:AE161" xr:uid="{47ED8C40-45AB-4C87-94D4-35BD270C8830}"/>
  <tableColumns count="31">
    <tableColumn id="6" xr3:uid="{6AA75898-4458-484B-9DC3-E7C2DBF0B576}" name="Famille Fidji ACT" dataDxfId="110"/>
    <tableColumn id="7" xr3:uid="{11214A60-F22D-449F-A80B-F002C625EC9D}" name="Libellé court Fidji ACT _x000a_(choisir d'abord la famille)" dataDxfId="109"/>
    <tableColumn id="1" xr3:uid="{7CB4302A-EADC-44E2-A0E5-DF4A7B11BBBD}" name="Libellé long pour chaque type d'action Fidji ACT" dataDxfId="108">
      <calculatedColumnFormula>INDEX(Nomenclature[],MATCH(Actions[[#This Row],[Libellé court Fidji ACT 
(choisir d''abord la famille)]],Nomenclature[Libellé court type d''action],0),2)</calculatedColumnFormula>
    </tableColumn>
    <tableColumn id="3" xr3:uid="{DF356F4D-ED9C-4225-A42B-4E9779FF5644}" name="Libellé de l’action_x000a_(à personnaliser)" dataDxfId="107"/>
    <tableColumn id="24" xr3:uid="{7ED18E87-DF90-4CC7-BC84-3E94DBCECBF0}" name="Stade" dataDxfId="106"/>
    <tableColumn id="25" xr3:uid="{B29A9331-DD19-47EB-8606-A346929E9FC0}" name="Commentaire action" dataDxfId="105"/>
    <tableColumn id="4" xr3:uid="{51A572D4-E840-48E7-B6EF-4A880452B106}" name="A suivre en Comité vert" dataDxfId="104"/>
    <tableColumn id="5" xr3:uid="{81E4683C-F0E4-4D21-84E1-4267171DAAD0}" name="Action prioritaire" dataDxfId="103"/>
    <tableColumn id="27" xr3:uid="{B54ACEC6-0B46-4A37-AF2C-277EF0146609}" name="A suivre avec le mainteneur" dataDxfId="102"/>
    <tableColumn id="26" xr3:uid="{D05DA292-9B01-4919-8187-B89046C661BB}" name="A suivre avec le propriétaire" dataDxfId="101">
      <calculatedColumnFormula array="1">INDEX(Nomenclature[],MATCH(Actions[[#This Row],[Libellé court Fidji ACT 
(choisir d''abord la famille)]],Nomenclature[Libellé court type d''action],0),COLUMN(Nomenclature[A suivre avec le propriétaire]))</calculatedColumnFormula>
    </tableColumn>
    <tableColumn id="30" xr3:uid="{DAC73BC4-A37D-4385-BB0A-3E8BE4579FC0}" name="Co-décision avec un tiers" dataDxfId="100"/>
    <tableColumn id="20" xr3:uid="{17822664-5E75-488B-8C93-0628E318942D}" name="Tag" dataDxfId="99"/>
    <tableColumn id="22" xr3:uid="{D40705AA-CD3D-4484-9557-141B2E18C566}" name="Année _x000a_prévue" dataDxfId="98"/>
    <tableColumn id="19" xr3:uid="{1ADB2916-706A-4CCB-83A5-E90130466E88}" name="Quick win ou rénovation" dataDxfId="97">
      <calculatedColumnFormula array="1">INDEX(Nomenclature[],MATCH(Actions[[#This Row],[Libellé court Fidji ACT 
(choisir d''abord la famille)]],Nomenclature[Libellé court type d''action],0),COLUMN(Nomenclature[Quick win]))</calculatedColumnFormula>
    </tableColumn>
    <tableColumn id="11" xr3:uid="{0A812495-4BF4-4E61-B3BC-E02DBEFB7ACF}" name="Impact prévu sur conso électricité_x000a_en kWhEF / an sur le bâtiment " dataDxfId="96"/>
    <tableColumn id="12" xr3:uid="{3C441F9A-2358-44A4-A897-8C3456027283}" name="Impact prévu sur conso_x000a_gaz naturel_x000a_en kWhEF / an sur le bâtiment" dataDxfId="95"/>
    <tableColumn id="13" xr3:uid="{41689E0A-FCAD-4337-8083-94C448D0F993}" name="Impact prévu sur conso_x000a_réseau urbain (chauffage)_x000a_en kWhEF / an sur le bâtiment" dataDxfId="94"/>
    <tableColumn id="14" xr3:uid="{4195C370-B7EA-4448-8AC7-56852E213578}" name="Impact prévu sur conso _x000a_réseau urbain (froid)_x000a_en kWhEF / an sur le bâtiment" dataDxfId="93"/>
    <tableColumn id="2" xr3:uid="{D62C916E-9D5E-46A0-98CB-236A25A9DE94}" name=" Impact prévu sur conso bois_x000a_en kWhEF / an sur le bâtiment" dataDxfId="92"/>
    <tableColumn id="21" xr3:uid="{D8965123-79E5-49FB-A35D-DDE78E77B992}" name="Origine du gain" dataDxfId="91"/>
    <tableColumn id="8" xr3:uid="{468B87BC-F7D1-44EE-9C67-ED532C8B6339}" name="Action =&gt; abandon gaz / fioul  ?" dataDxfId="90"/>
    <tableColumn id="9" xr3:uid="{FD87AF7E-16DC-4EBA-8375-00D777B0F88A}" name="Gains _x000a_kWhEF" dataDxfId="89"/>
    <tableColumn id="15" xr3:uid="{5567D9E5-D057-4B5C-9592-1A059883E328}" name="Budget en k€" dataDxfId="88"/>
    <tableColumn id="10" xr3:uid="{09A7679B-B118-4404-88FE-D5D5A114BBFB}" name="Scope budget" dataDxfId="87"/>
    <tableColumn id="17" xr3:uid="{2F856D68-EA3E-4F7F-AF12-B3834EE7D048}" name="Commentaire investissement" dataDxfId="86"/>
    <tableColumn id="16" xr3:uid="{231EFB0B-86CF-4E06-B633-8AD64F8185D2}" name="Origine _x000a_budget" dataDxfId="85"/>
    <tableColumn id="23" xr3:uid="{E19B8A71-DFBD-4B3F-A58E-3FB7BDB2BEBB}" name="Taxonomie _x000a_Classe d'activité dont relèvent les dépenses" dataDxfId="84">
      <calculatedColumnFormula array="1">INDEX(Nomenclature[],MATCH(Actions[[#This Row],[Libellé court Fidji ACT 
(choisir d''abord la famille)]],Nomenclature[Libellé court type d''action],0),COLUMN(Nomenclature[Classe d''activité de référence]))</calculatedColumnFormula>
    </tableColumn>
    <tableColumn id="18" xr3:uid="{E3548477-D0A1-4C98-99BC-066565E237A1}" name="Code _x000a_invest." dataDxfId="83"/>
    <tableColumn id="31" xr3:uid="{6E39AC17-EC8B-462D-89FC-5FAE024E27D4}" name="Budget" dataDxfId="82"/>
    <tableColumn id="32" xr3:uid="{A0396FD9-07A8-40FA-A09A-F732ACFE1E3D}" name="Type doc.  justificatif" dataDxfId="81"/>
    <tableColumn id="33" xr3:uid="{EC429979-9101-4CB2-B0C9-72D068423D3B}" name="Lien vers le doc." dataDxfId="8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E05E09-0F2E-43B7-94C2-DCA8E81A133D}" name="Nomenclature" displayName="Nomenclature" ref="A1:I180" totalsRowShown="0" headerRowDxfId="79" dataDxfId="77" headerRowBorderDxfId="78" tableBorderDxfId="76">
  <autoFilter ref="A1:I180" xr:uid="{C7E05E09-0F2E-43B7-94C2-DCA8E81A133D}"/>
  <tableColumns count="9">
    <tableColumn id="2" xr3:uid="{D857A4C1-43B1-4A2B-B45E-89DF326B78DC}" name="Famille Fidji ACT" dataDxfId="75"/>
    <tableColumn id="4" xr3:uid="{37391ED2-3033-47C7-80DC-0D1D41325AFB}" name="Type d'action Fidji ACT" dataDxfId="74"/>
    <tableColumn id="6" xr3:uid="{9BFE24BD-6C7C-4FD5-A2A6-19BE67A909A3}" name="Libellé court type d'action" dataDxfId="73"/>
    <tableColumn id="1" xr3:uid="{94197BF8-DB1F-4DBE-8932-D115C629E501}" name="Quick win" dataDxfId="72"/>
    <tableColumn id="3" xr3:uid="{24783B68-A652-4175-A620-136F669B4ACD}" name="Dépenses a priori alignées taxonomie" dataDxfId="71"/>
    <tableColumn id="5" xr3:uid="{8761316F-E511-4E6E-AE5C-B87B87D79233}" name="Classe d'activité de référence" dataDxfId="70"/>
    <tableColumn id="7" xr3:uid="{15E6C2FE-84F9-4D0B-A384-DC33D26E1D54}" name="A suivre avec le mainteneur" dataDxfId="69"/>
    <tableColumn id="8" xr3:uid="{72D4B018-845A-43DC-AF75-464B3655DB90}" name="A suivre avec le propriétaire" dataDxfId="68"/>
    <tableColumn id="9" xr3:uid="{A790635F-3A3E-4038-965A-9B3BD938E2AB}" name="A suivre avec le locataire" dataDxfId="67"/>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D3D45C-E584-46E2-A671-957D293F087F}" name="Settings" displayName="Settings" ref="A1:U22" totalsRowShown="0" headerRowDxfId="66" dataDxfId="65">
  <autoFilter ref="A1:U22" xr:uid="{CCD3D45C-E584-46E2-A671-957D293F087F}"/>
  <tableColumns count="21">
    <tableColumn id="1" xr3:uid="{939856F3-96AA-45E3-A387-F6CD8DEDA828}" name="Date réalisation" dataDxfId="64"/>
    <tableColumn id="2" xr3:uid="{B0FD35BD-A059-4A20-BBCE-3549FFAA5D24}" name="Origine budget" dataDxfId="63"/>
    <tableColumn id="11" xr3:uid="{42AA2AE7-AE78-47DA-AE3F-46FEC1C112B0}" name="Origine du gain" dataDxfId="62"/>
    <tableColumn id="10" xr3:uid="{9C43903E-4ED0-49B2-97BB-721224D87449}" name="Précision sur le gain" dataDxfId="61"/>
    <tableColumn id="4" xr3:uid="{8BFB0888-69D8-4499-B7F9-6DD6697343E2}" name="Périmètre" dataDxfId="60"/>
    <tableColumn id="3" xr3:uid="{E3BD14C8-E318-441B-807D-CB266A474A33}" name="Scope budget" dataDxfId="59"/>
    <tableColumn id="18" xr3:uid="{09970F77-D77E-4000-8923-73B322895D59}" name="A voir en comité vert" dataDxfId="58"/>
    <tableColumn id="17" xr3:uid="{B62FF3EB-B1F1-480E-9F0D-758B09AB4385}" name="A voir avec le mainteneur" dataDxfId="57"/>
    <tableColumn id="7" xr3:uid="{2D6F857A-9145-436C-8395-DDEC40718172}" name="A voir avec le propriétaire" dataDxfId="56"/>
    <tableColumn id="21" xr3:uid="{3217B628-5211-47CB-914D-2F7E62FD38DD}" name="A voir avec le locataire" dataDxfId="55"/>
    <tableColumn id="20" xr3:uid="{11DEA492-1DFB-42C4-BC12-836FA8C2846E}" name="Action urgente" dataDxfId="54"/>
    <tableColumn id="19" xr3:uid="{9920F23A-1FBB-44A7-B0E6-8D01E5902F35}" name="Dépenses a priori alignées taxonomie" dataDxfId="53"/>
    <tableColumn id="5" xr3:uid="{E82C7975-5AB6-4A87-9F31-E4AFE8F5310C}" name="Co-décision avec un tiers" dataDxfId="52"/>
    <tableColumn id="6" xr3:uid="{0B4B8B5C-BAC5-4647-BB04-E430368BE46D}" name="Stade " dataDxfId="51"/>
    <tableColumn id="8" xr3:uid="{CB396766-F364-49A5-9F8A-52FD48ACBBAD}" name="Urgence" dataDxfId="50"/>
    <tableColumn id="12" xr3:uid="{FFEDDB38-155E-4E8E-9385-8A7FDA93D40C}" name="Quick win ?" dataDxfId="49"/>
    <tableColumn id="9" xr3:uid="{089FA138-D5E4-4CCE-9A96-B2837B2D1DAE}" name="Abandon énergie fossile" dataDxfId="48"/>
    <tableColumn id="13" xr3:uid="{20A8EBA8-4383-448F-AD0D-F5184A8940B6}" name="Typologie" dataDxfId="47"/>
    <tableColumn id="14" xr3:uid="{A90F2319-F40C-4045-A0D3-1FFCC6875A83}" name="Responsabilité" dataDxfId="46"/>
    <tableColumn id="15" xr3:uid="{89809C47-0375-4226-9559-4D997B64B6F8}" name="Statut Propriété " dataDxfId="45"/>
    <tableColumn id="16" xr3:uid="{3F7CD7D8-F859-44AE-BA63-1BBF583D3AF7}" name="Energie chauffage" dataDxfId="44"/>
  </tableColumns>
  <tableStyleInfo name="TableStyleLight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1D98-72D3-402A-9F0C-5054C9C58F87}">
  <dimension ref="B1:BC25"/>
  <sheetViews>
    <sheetView zoomScale="120" zoomScaleNormal="120" workbookViewId="0">
      <selection activeCell="L12" sqref="L12"/>
    </sheetView>
  </sheetViews>
  <sheetFormatPr baseColWidth="10" defaultColWidth="0" defaultRowHeight="14.4"/>
  <cols>
    <col min="1" max="1" width="2.5546875" style="9" customWidth="1"/>
    <col min="2" max="2" width="12.5546875" style="9" customWidth="1"/>
    <col min="3" max="3" width="4.21875" style="9" customWidth="1"/>
    <col min="4" max="5" width="12.5546875" style="9" customWidth="1"/>
    <col min="6" max="6" width="4.88671875" style="9" customWidth="1"/>
    <col min="7" max="10" width="12.5546875" style="9" customWidth="1"/>
    <col min="11" max="11" width="5.44140625" style="9" customWidth="1"/>
    <col min="12" max="14" width="12.5546875" style="9" customWidth="1"/>
    <col min="15" max="15" width="6.44140625" style="9" customWidth="1"/>
    <col min="16" max="16" width="19.5546875" style="9" customWidth="1"/>
    <col min="17" max="17" width="15.44140625" style="9" customWidth="1"/>
    <col min="18" max="18" width="17.44140625" style="9" customWidth="1"/>
    <col min="19" max="19" width="11.44140625" style="9" customWidth="1"/>
    <col min="20" max="20" width="12.44140625" style="9" customWidth="1"/>
    <col min="21" max="21" width="6.44140625" style="9" customWidth="1"/>
    <col min="22" max="22" width="11" style="9" customWidth="1"/>
    <col min="23" max="23" width="6.5546875" style="9" customWidth="1"/>
    <col min="24" max="24" width="6.5546875" style="50" customWidth="1"/>
    <col min="25" max="55" width="5.5546875" style="50" customWidth="1"/>
    <col min="56" max="90" width="4.5546875" style="9" customWidth="1"/>
    <col min="91" max="16384" width="0" style="9" hidden="1"/>
  </cols>
  <sheetData>
    <row r="1" spans="2:14" ht="20.25" customHeight="1">
      <c r="B1" s="162" t="s">
        <v>599</v>
      </c>
      <c r="C1" s="163"/>
      <c r="D1" s="163"/>
      <c r="E1" s="163"/>
      <c r="F1" s="163"/>
      <c r="G1" s="163"/>
      <c r="H1" s="163"/>
      <c r="I1" s="163"/>
      <c r="J1" s="163"/>
    </row>
    <row r="2" spans="2:14" ht="240.6" customHeight="1">
      <c r="B2" s="55"/>
      <c r="C2" s="55"/>
      <c r="D2" s="55"/>
      <c r="E2" s="55"/>
      <c r="F2" s="55"/>
      <c r="G2" s="55"/>
      <c r="H2" s="55"/>
      <c r="I2" s="55"/>
      <c r="J2" s="55"/>
      <c r="K2" s="55"/>
      <c r="L2" s="55"/>
      <c r="M2" s="55"/>
      <c r="N2" s="56"/>
    </row>
    <row r="3" spans="2:14" ht="22.8" customHeight="1">
      <c r="B3" s="162" t="s">
        <v>502</v>
      </c>
      <c r="C3" s="163"/>
      <c r="D3" s="163"/>
      <c r="E3" s="163"/>
      <c r="F3" s="163"/>
      <c r="G3" s="163"/>
      <c r="H3" s="163"/>
      <c r="I3" s="163"/>
      <c r="J3" s="163"/>
      <c r="K3" s="55"/>
      <c r="L3" s="55"/>
      <c r="M3" s="55"/>
      <c r="N3" s="56"/>
    </row>
    <row r="4" spans="2:14" ht="22.8" customHeight="1">
      <c r="B4" s="163" t="s">
        <v>575</v>
      </c>
      <c r="C4" s="163"/>
      <c r="D4" s="163"/>
      <c r="E4" s="163"/>
      <c r="F4" s="163"/>
      <c r="G4" s="163"/>
      <c r="H4" s="163"/>
      <c r="I4" s="163"/>
      <c r="J4" s="163"/>
      <c r="K4" s="163"/>
      <c r="L4" s="163"/>
      <c r="M4" s="163"/>
      <c r="N4" s="163"/>
    </row>
    <row r="5" spans="2:14" ht="18" customHeight="1">
      <c r="B5" s="60"/>
      <c r="J5" s="54"/>
      <c r="K5" s="53"/>
      <c r="L5" s="54"/>
      <c r="M5" s="53"/>
      <c r="N5" s="57"/>
    </row>
    <row r="6" spans="2:14" ht="24" customHeight="1">
      <c r="B6" s="163" t="s">
        <v>503</v>
      </c>
      <c r="C6" s="163"/>
      <c r="D6" s="163"/>
      <c r="E6" s="163"/>
      <c r="F6" s="163"/>
      <c r="G6" s="163"/>
      <c r="H6" s="163"/>
      <c r="I6" s="163"/>
      <c r="J6" s="163"/>
      <c r="K6" s="53"/>
      <c r="L6" s="54"/>
      <c r="M6" s="53"/>
      <c r="N6" s="57"/>
    </row>
    <row r="7" spans="2:14" ht="66" customHeight="1">
      <c r="B7" s="163" t="s">
        <v>511</v>
      </c>
      <c r="C7" s="163"/>
      <c r="D7" s="163"/>
      <c r="E7" s="163"/>
      <c r="F7" s="163"/>
      <c r="G7" s="163"/>
      <c r="H7" s="163"/>
      <c r="I7" s="163"/>
      <c r="J7" s="163"/>
      <c r="K7" s="163"/>
      <c r="L7" s="163"/>
      <c r="M7" s="163"/>
      <c r="N7" s="163"/>
    </row>
    <row r="8" spans="2:14" ht="54" customHeight="1">
      <c r="B8" s="163" t="s">
        <v>588</v>
      </c>
      <c r="C8" s="163"/>
      <c r="D8" s="163"/>
      <c r="E8" s="163"/>
      <c r="F8" s="163"/>
      <c r="G8" s="163"/>
      <c r="H8" s="163"/>
      <c r="I8" s="163"/>
      <c r="J8" s="163"/>
      <c r="K8" s="163"/>
      <c r="L8" s="163"/>
      <c r="M8" s="163"/>
      <c r="N8" s="163"/>
    </row>
    <row r="9" spans="2:14" ht="13.8" customHeight="1">
      <c r="B9" s="114"/>
      <c r="C9" s="114"/>
      <c r="D9" s="114"/>
      <c r="E9" s="114"/>
      <c r="F9" s="114"/>
      <c r="G9" s="114"/>
      <c r="H9" s="114"/>
      <c r="I9" s="114"/>
      <c r="J9" s="114"/>
      <c r="K9" s="114"/>
      <c r="L9" s="114"/>
      <c r="M9" s="114"/>
      <c r="N9" s="114"/>
    </row>
    <row r="10" spans="2:14" ht="23.25" customHeight="1">
      <c r="B10" s="162" t="s">
        <v>551</v>
      </c>
      <c r="C10" s="164"/>
      <c r="D10" s="164"/>
      <c r="E10" s="164"/>
      <c r="F10" s="164"/>
      <c r="G10" s="164"/>
      <c r="H10" s="164"/>
      <c r="I10" s="164"/>
      <c r="J10" s="164"/>
      <c r="K10" s="164"/>
      <c r="L10" s="164"/>
      <c r="M10" s="164"/>
      <c r="N10" s="164"/>
    </row>
    <row r="11" spans="2:14" ht="27.6" customHeight="1">
      <c r="B11" s="163" t="s">
        <v>576</v>
      </c>
      <c r="C11" s="164"/>
      <c r="D11" s="164"/>
      <c r="E11" s="164"/>
      <c r="F11" s="164"/>
      <c r="G11" s="164"/>
      <c r="H11" s="164"/>
      <c r="I11" s="164"/>
      <c r="J11" s="164"/>
      <c r="K11" s="164"/>
      <c r="L11" s="164"/>
      <c r="M11" s="164"/>
      <c r="N11" s="164"/>
    </row>
    <row r="12" spans="2:14" ht="13.8" customHeight="1">
      <c r="B12" s="114"/>
      <c r="C12" s="115"/>
      <c r="D12" s="115"/>
      <c r="E12" s="115"/>
      <c r="F12" s="115"/>
      <c r="G12" s="115"/>
      <c r="H12" s="115"/>
      <c r="I12" s="115"/>
      <c r="J12" s="115"/>
      <c r="K12" s="115"/>
      <c r="L12" s="115"/>
      <c r="M12" s="115"/>
      <c r="N12" s="115"/>
    </row>
    <row r="13" spans="2:14" ht="22.8" customHeight="1">
      <c r="B13" s="162" t="s">
        <v>504</v>
      </c>
      <c r="C13" s="164"/>
      <c r="D13" s="164"/>
      <c r="E13" s="164"/>
      <c r="F13" s="164"/>
      <c r="G13" s="164"/>
      <c r="H13" s="164"/>
      <c r="I13" s="164"/>
      <c r="J13" s="164"/>
      <c r="K13" s="164"/>
      <c r="L13" s="164"/>
      <c r="M13" s="164"/>
      <c r="N13" s="164"/>
    </row>
    <row r="14" spans="2:14" ht="18" customHeight="1">
      <c r="B14" s="163" t="s">
        <v>600</v>
      </c>
      <c r="C14" s="164"/>
      <c r="D14" s="164"/>
      <c r="E14" s="164"/>
      <c r="F14" s="164"/>
      <c r="G14" s="164"/>
      <c r="H14" s="164"/>
      <c r="I14" s="164"/>
      <c r="J14" s="164"/>
      <c r="K14" s="164"/>
      <c r="L14" s="164"/>
      <c r="M14" s="164"/>
      <c r="N14" s="164"/>
    </row>
    <row r="15" spans="2:14" ht="13.8" customHeight="1">
      <c r="B15" s="114"/>
      <c r="C15" s="115"/>
      <c r="D15" s="115"/>
      <c r="E15" s="115"/>
      <c r="F15" s="115"/>
      <c r="G15" s="115"/>
      <c r="H15" s="115"/>
      <c r="I15" s="115"/>
      <c r="J15" s="115"/>
      <c r="K15" s="115"/>
      <c r="L15" s="115"/>
      <c r="M15" s="115"/>
      <c r="N15" s="115"/>
    </row>
    <row r="16" spans="2:14" ht="24" customHeight="1">
      <c r="B16" s="162" t="s">
        <v>552</v>
      </c>
      <c r="C16" s="162"/>
      <c r="D16" s="162"/>
      <c r="E16" s="162"/>
      <c r="F16" s="162"/>
      <c r="G16" s="162"/>
      <c r="H16" s="162"/>
      <c r="I16" s="162"/>
      <c r="J16" s="162"/>
      <c r="K16" s="162"/>
      <c r="L16" s="162"/>
      <c r="M16" s="162"/>
      <c r="N16" s="162"/>
    </row>
    <row r="17" spans="2:15" ht="27" customHeight="1">
      <c r="B17" s="166" t="s">
        <v>570</v>
      </c>
      <c r="C17" s="166"/>
      <c r="D17" s="166"/>
      <c r="E17" s="166"/>
      <c r="F17" s="61"/>
      <c r="G17" s="167" t="s">
        <v>571</v>
      </c>
      <c r="H17" s="167"/>
      <c r="I17" s="167"/>
      <c r="J17" s="167"/>
      <c r="K17" s="61"/>
      <c r="L17" s="168" t="s">
        <v>572</v>
      </c>
      <c r="M17" s="168"/>
      <c r="N17" s="168"/>
      <c r="O17" s="168"/>
    </row>
    <row r="18" spans="2:15" ht="9" customHeight="1">
      <c r="B18" s="125"/>
      <c r="C18" s="125"/>
      <c r="D18" s="125"/>
      <c r="E18" s="125"/>
      <c r="F18" s="61"/>
      <c r="G18" s="125"/>
      <c r="H18" s="125"/>
      <c r="I18" s="125"/>
      <c r="J18" s="125"/>
      <c r="K18" s="61"/>
      <c r="L18" s="125"/>
      <c r="M18" s="125"/>
      <c r="N18" s="125"/>
      <c r="O18" s="125"/>
    </row>
    <row r="19" spans="2:15" ht="27.6" customHeight="1">
      <c r="B19" s="127" t="s">
        <v>320</v>
      </c>
      <c r="C19" s="126"/>
      <c r="D19" s="170" t="s">
        <v>573</v>
      </c>
      <c r="E19" s="170"/>
      <c r="F19" s="126"/>
      <c r="G19" s="165" t="s">
        <v>574</v>
      </c>
      <c r="H19" s="165"/>
      <c r="I19" s="165"/>
      <c r="J19" s="165"/>
      <c r="K19" s="165"/>
      <c r="L19" s="165"/>
      <c r="M19" s="165"/>
      <c r="N19" s="126"/>
    </row>
    <row r="20" spans="2:15" ht="33" customHeight="1">
      <c r="B20" s="169" t="s">
        <v>589</v>
      </c>
      <c r="C20" s="169"/>
      <c r="D20" s="169"/>
      <c r="E20" s="169"/>
      <c r="F20" s="169"/>
      <c r="G20" s="169"/>
      <c r="H20" s="169"/>
      <c r="I20" s="169"/>
      <c r="J20" s="169"/>
      <c r="K20" s="169"/>
      <c r="L20" s="169"/>
      <c r="M20" s="169"/>
      <c r="N20" s="169"/>
      <c r="O20" s="169"/>
    </row>
    <row r="21" spans="2:15" ht="18" customHeight="1">
      <c r="B21" s="51"/>
      <c r="C21" s="52"/>
      <c r="D21" s="39"/>
      <c r="E21" s="38"/>
      <c r="J21" s="58"/>
      <c r="K21" s="53"/>
      <c r="L21" s="58"/>
      <c r="M21" s="53"/>
    </row>
    <row r="22" spans="2:15" ht="18" customHeight="1">
      <c r="B22" s="51"/>
      <c r="C22" s="52"/>
      <c r="D22" s="39"/>
      <c r="E22" s="38"/>
      <c r="J22" s="54"/>
      <c r="K22" s="53"/>
    </row>
    <row r="23" spans="2:15" ht="18" customHeight="1">
      <c r="B23" s="51"/>
      <c r="C23" s="52"/>
      <c r="D23" s="59"/>
      <c r="E23" s="38"/>
    </row>
    <row r="24" spans="2:15" ht="10.5" customHeight="1">
      <c r="B24" s="51"/>
      <c r="C24" s="38"/>
      <c r="D24" s="51"/>
      <c r="E24" s="38"/>
    </row>
    <row r="25" spans="2:15" ht="18" customHeight="1">
      <c r="B25" s="51"/>
      <c r="C25" s="38"/>
      <c r="D25" s="51"/>
      <c r="E25" s="38"/>
    </row>
  </sheetData>
  <sheetProtection algorithmName="SHA-512" hashValue="LofZdfI+AiZmrMdOXgWjy52lYHbnYs1lV3o+GginnvV64Kw6pjHzeTJ+VZJ/hNOuR0sDha2IoFu8cgFkCY7GGQ==" saltValue="ugdDkDZ5jDzD5EapASbodg==" spinCount="100000" sheet="1" objects="1" scenarios="1"/>
  <mergeCells count="17">
    <mergeCell ref="G19:M19"/>
    <mergeCell ref="B17:E17"/>
    <mergeCell ref="G17:J17"/>
    <mergeCell ref="L17:O17"/>
    <mergeCell ref="B20:O20"/>
    <mergeCell ref="D19:E19"/>
    <mergeCell ref="B1:J1"/>
    <mergeCell ref="B7:N7"/>
    <mergeCell ref="B16:N16"/>
    <mergeCell ref="B13:N13"/>
    <mergeCell ref="B6:J6"/>
    <mergeCell ref="B3:J3"/>
    <mergeCell ref="B4:N4"/>
    <mergeCell ref="B10:N10"/>
    <mergeCell ref="B11:N11"/>
    <mergeCell ref="B8:N8"/>
    <mergeCell ref="B14:N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CDDF-5D80-4E40-9A25-C944BCE56034}">
  <sheetPr codeName="Sheet1"/>
  <dimension ref="A1:C46"/>
  <sheetViews>
    <sheetView showGridLines="0" zoomScale="120" zoomScaleNormal="120" workbookViewId="0">
      <selection activeCell="B8" sqref="B8"/>
    </sheetView>
  </sheetViews>
  <sheetFormatPr baseColWidth="10" defaultColWidth="11.44140625" defaultRowHeight="18" customHeight="1"/>
  <cols>
    <col min="1" max="1" width="4.109375" style="26" customWidth="1"/>
    <col min="2" max="2" width="65.6640625" style="15" customWidth="1"/>
    <col min="3" max="3" width="45.6640625" style="128" customWidth="1"/>
    <col min="4" max="4" width="136.6640625" style="15" customWidth="1"/>
    <col min="5" max="16384" width="11.44140625" style="15"/>
  </cols>
  <sheetData>
    <row r="1" spans="1:3" ht="28.8" customHeight="1">
      <c r="A1" s="27" t="s">
        <v>516</v>
      </c>
    </row>
    <row r="3" spans="1:3" ht="18" customHeight="1">
      <c r="A3" s="26">
        <v>1</v>
      </c>
      <c r="B3" s="22" t="s">
        <v>418</v>
      </c>
      <c r="C3" s="129" t="s">
        <v>418</v>
      </c>
    </row>
    <row r="4" spans="1:3" ht="18" customHeight="1">
      <c r="B4" s="23"/>
    </row>
    <row r="5" spans="1:3" ht="18" customHeight="1">
      <c r="A5" s="26">
        <f>A3+1</f>
        <v>2</v>
      </c>
      <c r="B5" s="22" t="s">
        <v>340</v>
      </c>
      <c r="C5" s="129" t="s">
        <v>340</v>
      </c>
    </row>
    <row r="6" spans="1:3" ht="18" customHeight="1">
      <c r="B6" s="23"/>
    </row>
    <row r="7" spans="1:3" ht="18" customHeight="1">
      <c r="A7" s="26">
        <f>A5+1</f>
        <v>3</v>
      </c>
      <c r="B7" s="22" t="s">
        <v>486</v>
      </c>
      <c r="C7" s="129"/>
    </row>
    <row r="8" spans="1:3" ht="18" customHeight="1">
      <c r="B8" s="23"/>
    </row>
    <row r="9" spans="1:3" ht="18" customHeight="1">
      <c r="A9" s="26">
        <f>A7+1</f>
        <v>4</v>
      </c>
      <c r="B9" s="22" t="s">
        <v>417</v>
      </c>
      <c r="C9" s="129"/>
    </row>
    <row r="10" spans="1:3" ht="18" customHeight="1">
      <c r="B10" s="23"/>
    </row>
    <row r="11" spans="1:3" ht="18" customHeight="1">
      <c r="A11" s="26">
        <f>A9+1</f>
        <v>5</v>
      </c>
      <c r="B11" s="22" t="s">
        <v>408</v>
      </c>
      <c r="C11" s="129"/>
    </row>
    <row r="13" spans="1:3" ht="18" customHeight="1">
      <c r="A13" s="26">
        <f>A11+1</f>
        <v>6</v>
      </c>
      <c r="B13" s="22" t="s">
        <v>481</v>
      </c>
      <c r="C13" s="129"/>
    </row>
    <row r="15" spans="1:3" ht="18" customHeight="1">
      <c r="A15" s="26">
        <f>A13+1</f>
        <v>7</v>
      </c>
      <c r="B15" s="22" t="s">
        <v>517</v>
      </c>
      <c r="C15" s="129"/>
    </row>
    <row r="16" spans="1:3" ht="18" customHeight="1">
      <c r="B16" s="24"/>
      <c r="C16" s="130"/>
    </row>
    <row r="17" spans="1:3" ht="18" customHeight="1">
      <c r="B17" s="24"/>
      <c r="C17" s="130"/>
    </row>
    <row r="18" spans="1:3" ht="23.4" customHeight="1">
      <c r="A18" s="27" t="s">
        <v>506</v>
      </c>
    </row>
    <row r="19" spans="1:3" ht="18" customHeight="1">
      <c r="A19" s="25"/>
    </row>
    <row r="20" spans="1:3" ht="18" customHeight="1">
      <c r="A20" s="26">
        <f>A15+1</f>
        <v>8</v>
      </c>
      <c r="B20" s="22" t="s">
        <v>432</v>
      </c>
      <c r="C20" s="129"/>
    </row>
    <row r="22" spans="1:3" ht="18" customHeight="1">
      <c r="A22" s="26">
        <f>A20+1</f>
        <v>9</v>
      </c>
      <c r="B22" s="22" t="s">
        <v>433</v>
      </c>
      <c r="C22" s="129"/>
    </row>
    <row r="24" spans="1:3" ht="18" customHeight="1">
      <c r="A24" s="26">
        <f>A22+1</f>
        <v>10</v>
      </c>
      <c r="B24" s="22" t="s">
        <v>482</v>
      </c>
      <c r="C24" s="131"/>
    </row>
    <row r="26" spans="1:3" ht="18" customHeight="1">
      <c r="A26" s="26">
        <f>A24+1</f>
        <v>11</v>
      </c>
      <c r="B26" s="22" t="s">
        <v>483</v>
      </c>
      <c r="C26" s="129"/>
    </row>
    <row r="28" spans="1:3" ht="18" customHeight="1">
      <c r="A28" s="26">
        <f>A26+1</f>
        <v>12</v>
      </c>
      <c r="B28" s="22" t="s">
        <v>409</v>
      </c>
      <c r="C28" s="129"/>
    </row>
    <row r="30" spans="1:3" ht="18" customHeight="1">
      <c r="A30" s="26">
        <f>A28+1</f>
        <v>13</v>
      </c>
      <c r="B30" s="22" t="s">
        <v>410</v>
      </c>
      <c r="C30" s="129"/>
    </row>
    <row r="32" spans="1:3" ht="18" customHeight="1">
      <c r="A32" s="26">
        <f>A30+1</f>
        <v>14</v>
      </c>
      <c r="B32" s="22" t="s">
        <v>584</v>
      </c>
      <c r="C32" s="129"/>
    </row>
    <row r="34" spans="1:3" ht="18" customHeight="1">
      <c r="A34" s="26">
        <f>A32+1</f>
        <v>15</v>
      </c>
      <c r="B34" s="22" t="s">
        <v>583</v>
      </c>
      <c r="C34" s="129"/>
    </row>
    <row r="36" spans="1:3" ht="18" customHeight="1">
      <c r="A36" s="26">
        <f>A34+1</f>
        <v>16</v>
      </c>
      <c r="B36" s="22" t="s">
        <v>581</v>
      </c>
      <c r="C36" s="129"/>
    </row>
    <row r="38" spans="1:3" ht="18" customHeight="1">
      <c r="A38" s="26">
        <f>A36+1</f>
        <v>17</v>
      </c>
      <c r="B38" s="22" t="s">
        <v>582</v>
      </c>
      <c r="C38" s="129"/>
    </row>
    <row r="40" spans="1:3" ht="18" customHeight="1">
      <c r="A40" s="26">
        <f>A38+1</f>
        <v>18</v>
      </c>
      <c r="B40" s="22" t="s">
        <v>456</v>
      </c>
      <c r="C40" s="129"/>
    </row>
    <row r="42" spans="1:3" ht="18" customHeight="1">
      <c r="A42" s="26">
        <f>A40+1</f>
        <v>19</v>
      </c>
      <c r="B42" s="22" t="s">
        <v>468</v>
      </c>
      <c r="C42" s="129"/>
    </row>
    <row r="44" spans="1:3" ht="18" customHeight="1">
      <c r="A44" s="26">
        <f>A42+1</f>
        <v>20</v>
      </c>
      <c r="B44" s="22" t="s">
        <v>580</v>
      </c>
      <c r="C44" s="129"/>
    </row>
    <row r="46" spans="1:3" ht="18" customHeight="1">
      <c r="A46" s="26">
        <f>A44+1</f>
        <v>21</v>
      </c>
      <c r="B46" s="22" t="s">
        <v>472</v>
      </c>
      <c r="C46" s="129"/>
    </row>
  </sheetData>
  <sheetProtection algorithmName="SHA-512" hashValue="reSpTtnAW0e+ToWym2H9uiNbZ1k6fqzcwkOsGxBte1ZEZhfSP8x3l3EOK/3I+B2fzjp6z6XUYWQavOUScK+tRg==" saltValue="jVHOjaTqzhjSoYaF2/GDtA==" spinCount="100000"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2">
        <x14:dataValidation type="list" allowBlank="1" showInputMessage="1" showErrorMessage="1" xr:uid="{D2198FD9-80A0-49A4-AF41-CE1EF71E0D39}">
          <x14:formula1>
            <xm:f>Backend!$R$2:$R$12</xm:f>
          </x14:formula1>
          <xm:sqref>C13</xm:sqref>
        </x14:dataValidation>
        <x14:dataValidation type="list" allowBlank="1" showInputMessage="1" showErrorMessage="1" xr:uid="{A6BD7B8B-C734-46CC-8B20-07F892F15222}">
          <x14:formula1>
            <xm:f>Backend!$T$2:$T$5</xm:f>
          </x14:formula1>
          <xm:sqref>C26</xm:sqref>
        </x14:dataValidation>
        <x14:dataValidation type="list" allowBlank="1" showInputMessage="1" showErrorMessage="1" xr:uid="{54C34C8F-CAF4-42CC-B214-51E808453A1F}">
          <x14:formula1>
            <xm:f>Backend!$U$2:$U$7</xm:f>
          </x14:formula1>
          <xm:sqref>C28</xm:sqref>
        </x14:dataValidation>
        <x14:dataValidation type="list" allowBlank="1" showInputMessage="1" showErrorMessage="1" xr:uid="{D6A41817-3CFC-40F8-93AD-B81C72F9EBDC}">
          <x14:formula1>
            <xm:f>Backend!$V$2:$V$3</xm:f>
          </x14:formula1>
          <xm:sqref>C30</xm:sqref>
        </x14:dataValidation>
        <x14:dataValidation type="list" allowBlank="1" showInputMessage="1" showErrorMessage="1" xr:uid="{D1A0FB3A-A4EC-4F6C-8BD5-571A212290FC}">
          <x14:formula1>
            <xm:f>Backend!$X$2:$X$5</xm:f>
          </x14:formula1>
          <xm:sqref>C34</xm:sqref>
        </x14:dataValidation>
        <x14:dataValidation type="list" allowBlank="1" showInputMessage="1" showErrorMessage="1" xr:uid="{F60DB6EB-4ED3-4FA6-BF40-86FDCA94CA5D}">
          <x14:formula1>
            <xm:f>Backend!$Z$2:$Z$7</xm:f>
          </x14:formula1>
          <xm:sqref>C38</xm:sqref>
        </x14:dataValidation>
        <x14:dataValidation type="list" allowBlank="1" showInputMessage="1" showErrorMessage="1" xr:uid="{E50B4469-9B10-4C1D-9A1D-841F65FBDF14}">
          <x14:formula1>
            <xm:f>Backend!$Y$2:$Y$5</xm:f>
          </x14:formula1>
          <xm:sqref>C36</xm:sqref>
        </x14:dataValidation>
        <x14:dataValidation type="list" allowBlank="1" showInputMessage="1" showErrorMessage="1" xr:uid="{08925613-5F15-44B2-8F1F-48CC845C7E45}">
          <x14:formula1>
            <xm:f>Backend!$AA$2:$AA$5</xm:f>
          </x14:formula1>
          <xm:sqref>C40</xm:sqref>
        </x14:dataValidation>
        <x14:dataValidation type="list" allowBlank="1" showInputMessage="1" showErrorMessage="1" xr:uid="{BD0C6BC2-B010-4B52-AA95-0A6A50506228}">
          <x14:formula1>
            <xm:f>Backend!$AB$2:$AB$3</xm:f>
          </x14:formula1>
          <xm:sqref>C42</xm:sqref>
        </x14:dataValidation>
        <x14:dataValidation type="list" allowBlank="1" showInputMessage="1" showErrorMessage="1" xr:uid="{204F0EAA-16F3-4EAA-BE02-8668AAF37D4B}">
          <x14:formula1>
            <xm:f>Backend!$AC$2:$AC$3</xm:f>
          </x14:formula1>
          <xm:sqref>C44</xm:sqref>
        </x14:dataValidation>
        <x14:dataValidation type="list" allowBlank="1" showInputMessage="1" showErrorMessage="1" xr:uid="{48D3C388-43D1-4331-8CE8-A0294FAF79CC}">
          <x14:formula1>
            <xm:f>Backend!$AD$2:$AD$8</xm:f>
          </x14:formula1>
          <xm:sqref>C46</xm:sqref>
        </x14:dataValidation>
        <x14:dataValidation type="list" allowBlank="1" showInputMessage="1" showErrorMessage="1" xr:uid="{7FAD0B85-FA8C-4BB2-99A2-BF4FFEE10BA5}">
          <x14:formula1>
            <xm:f>Backend!$W$2:$W$3</xm:f>
          </x14:formula1>
          <xm:sqref>C32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6A79B-777A-4551-8A6D-0D1F5B1F5DD5}">
  <sheetPr codeName="Sheet2"/>
  <dimension ref="A1:AKZ161"/>
  <sheetViews>
    <sheetView tabSelected="1" zoomScale="98" zoomScaleNormal="98" workbookViewId="0">
      <selection activeCell="A5" sqref="A5"/>
    </sheetView>
  </sheetViews>
  <sheetFormatPr baseColWidth="10" defaultColWidth="11.5546875" defaultRowHeight="55.2" customHeight="1" outlineLevelCol="1"/>
  <cols>
    <col min="1" max="1" width="25.33203125" style="10" customWidth="1"/>
    <col min="2" max="2" width="32.109375" style="10" customWidth="1"/>
    <col min="3" max="3" width="62.6640625" style="107" hidden="1" customWidth="1" outlineLevel="1"/>
    <col min="4" max="4" width="69.21875" style="10" customWidth="1" collapsed="1"/>
    <col min="5" max="5" width="14.44140625" style="10" customWidth="1"/>
    <col min="6" max="6" width="79" style="160" customWidth="1"/>
    <col min="7" max="7" width="17.77734375" style="32" hidden="1" customWidth="1" outlineLevel="1"/>
    <col min="8" max="8" width="15.5546875" style="32" hidden="1" customWidth="1" outlineLevel="1"/>
    <col min="9" max="9" width="21.33203125" hidden="1" customWidth="1" outlineLevel="1"/>
    <col min="10" max="10" width="20.44140625" style="32" hidden="1" customWidth="1" outlineLevel="1"/>
    <col min="11" max="11" width="18.109375" style="32" hidden="1" customWidth="1" outlineLevel="1"/>
    <col min="12" max="12" width="9.44140625" customWidth="1" collapsed="1"/>
    <col min="13" max="13" width="11.88671875" style="32" customWidth="1"/>
    <col min="14" max="14" width="17.77734375" style="32" customWidth="1"/>
    <col min="15" max="15" width="30.44140625" style="10" hidden="1" customWidth="1" outlineLevel="1"/>
    <col min="16" max="16" width="32.21875" style="10" hidden="1" customWidth="1" outlineLevel="1"/>
    <col min="17" max="17" width="44.5546875" style="10" hidden="1" customWidth="1" outlineLevel="1"/>
    <col min="18" max="18" width="35.33203125" style="10" hidden="1" customWidth="1" outlineLevel="1"/>
    <col min="19" max="19" width="28.109375" style="10" hidden="1" customWidth="1" outlineLevel="1"/>
    <col min="20" max="20" width="35.33203125" style="10" hidden="1" customWidth="1" outlineLevel="1"/>
    <col min="21" max="21" width="24.109375" style="10" hidden="1" customWidth="1" outlineLevel="1"/>
    <col min="22" max="22" width="9.6640625" customWidth="1" collapsed="1"/>
    <col min="23" max="23" width="21.5546875" customWidth="1" outlineLevel="1" collapsed="1"/>
    <col min="24" max="24" width="21.5546875" customWidth="1" outlineLevel="1"/>
    <col min="25" max="25" width="65.77734375" customWidth="1" outlineLevel="1"/>
    <col min="26" max="26" width="14.88671875" style="10" customWidth="1" outlineLevel="1"/>
    <col min="27" max="27" width="16.88671875" style="10" customWidth="1" outlineLevel="1"/>
    <col min="28" max="28" width="11.5546875" style="32" customWidth="1" outlineLevel="1"/>
    <col min="29" max="29" width="9.77734375" style="107" customWidth="1"/>
    <col min="30" max="30" width="14.109375" style="32" hidden="1" customWidth="1" outlineLevel="1"/>
    <col min="31" max="31" width="12.33203125" style="32" hidden="1" customWidth="1" outlineLevel="1"/>
    <col min="32" max="32" width="9.5546875" style="10" customWidth="1" collapsed="1"/>
    <col min="33" max="33" width="19.44140625" style="10" customWidth="1"/>
    <col min="34" max="34" width="35.33203125" style="10" customWidth="1"/>
    <col min="35" max="35" width="56.33203125" style="10" customWidth="1"/>
    <col min="36" max="36" width="20.6640625" style="10" customWidth="1"/>
    <col min="37" max="16384" width="11.5546875" style="10"/>
  </cols>
  <sheetData>
    <row r="1" spans="1:988" s="106" customFormat="1" ht="55.2" customHeight="1">
      <c r="A1" s="102" t="s">
        <v>0</v>
      </c>
      <c r="B1" s="102" t="s">
        <v>545</v>
      </c>
      <c r="C1" s="102" t="s">
        <v>489</v>
      </c>
      <c r="D1" s="102" t="s">
        <v>546</v>
      </c>
      <c r="E1" s="103" t="s">
        <v>493</v>
      </c>
      <c r="F1" s="104" t="s">
        <v>602</v>
      </c>
      <c r="G1" s="156" t="s">
        <v>563</v>
      </c>
      <c r="H1" s="156" t="s">
        <v>562</v>
      </c>
      <c r="I1" s="156" t="s">
        <v>547</v>
      </c>
      <c r="J1" s="156" t="s">
        <v>548</v>
      </c>
      <c r="K1" s="156" t="s">
        <v>529</v>
      </c>
      <c r="L1" s="104" t="s">
        <v>519</v>
      </c>
      <c r="M1" s="104" t="s">
        <v>515</v>
      </c>
      <c r="N1" s="102" t="s">
        <v>501</v>
      </c>
      <c r="O1" s="151" t="s">
        <v>536</v>
      </c>
      <c r="P1" s="151" t="s">
        <v>537</v>
      </c>
      <c r="Q1" s="151" t="s">
        <v>538</v>
      </c>
      <c r="R1" s="151" t="s">
        <v>539</v>
      </c>
      <c r="S1" s="151" t="s">
        <v>540</v>
      </c>
      <c r="T1" s="151" t="s">
        <v>315</v>
      </c>
      <c r="U1" s="151" t="s">
        <v>541</v>
      </c>
      <c r="V1" s="100" t="s">
        <v>514</v>
      </c>
      <c r="W1" s="152" t="s">
        <v>592</v>
      </c>
      <c r="X1" s="152" t="s">
        <v>591</v>
      </c>
      <c r="Y1" s="153" t="s">
        <v>603</v>
      </c>
      <c r="Z1" s="153" t="s">
        <v>513</v>
      </c>
      <c r="AA1" s="153" t="s">
        <v>601</v>
      </c>
      <c r="AB1" s="154" t="s">
        <v>543</v>
      </c>
      <c r="AC1" s="105" t="s">
        <v>544</v>
      </c>
      <c r="AD1" s="155" t="s">
        <v>565</v>
      </c>
      <c r="AE1" s="155" t="s">
        <v>566</v>
      </c>
      <c r="AF1" s="122" t="s">
        <v>564</v>
      </c>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row>
    <row r="2" spans="1:988" s="30" customFormat="1" ht="55.2" customHeight="1">
      <c r="A2" s="28" t="s">
        <v>4</v>
      </c>
      <c r="B2" s="29" t="s">
        <v>342</v>
      </c>
      <c r="C2" s="101" t="str">
        <f>INDEX(Nomenclature[],MATCH(Actions[[#This Row],[Libellé court Fidji ACT 
(choisir d''abord la famille)]],Nomenclature[Libellé court type d''action],0),2)</f>
        <v>Isoler par l'extérieur (ITE) les façades</v>
      </c>
      <c r="D2" s="28" t="s">
        <v>5</v>
      </c>
      <c r="E2" s="7" t="s">
        <v>430</v>
      </c>
      <c r="F2" s="161"/>
      <c r="G2" s="7"/>
      <c r="H2" s="7"/>
      <c r="I2" s="7"/>
      <c r="J2" s="7" t="str" cm="1">
        <f t="array" ref="J2">INDEX(Nomenclature[],MATCH(Actions[[#This Row],[Libellé court Fidji ACT 
(choisir d''abord la famille)]],Nomenclature[Libellé court type d''action],0),COLUMN(Nomenclature[A suivre avec le propriétaire]))</f>
        <v>Propriétaire</v>
      </c>
      <c r="K2" s="7"/>
      <c r="L2" s="112" t="s">
        <v>533</v>
      </c>
      <c r="M2" s="7"/>
      <c r="N2" s="7" t="str" cm="1">
        <f t="array" ref="N2">INDEX(Nomenclature[],MATCH(Actions[[#This Row],[Libellé court Fidji ACT 
(choisir d''abord la famille)]],Nomenclature[Libellé court type d''action],0),COLUMN(Nomenclature[Quick win]))</f>
        <v>Rénovation lourde</v>
      </c>
      <c r="O2" s="8"/>
      <c r="P2" s="8"/>
      <c r="Q2" s="8"/>
      <c r="R2" s="8"/>
      <c r="S2" s="8"/>
      <c r="T2" s="8"/>
      <c r="U2" s="7"/>
      <c r="V2" s="112" t="s">
        <v>533</v>
      </c>
      <c r="W2" s="11" t="s">
        <v>430</v>
      </c>
      <c r="X2" s="11"/>
      <c r="Y2" s="8"/>
      <c r="Z2" s="7"/>
      <c r="AA2" s="7" t="str" cm="1">
        <f t="array" ref="AA2">INDEX(Nomenclature[],MATCH(Actions[[#This Row],[Libellé court Fidji ACT 
(choisir d''abord la famille)]],Nomenclature[Libellé court type d''action],0),COLUMN(Nomenclature[Classe d''activité de référence]))</f>
        <v>7.3</v>
      </c>
      <c r="AB2" s="12"/>
      <c r="AC2" s="112" t="s">
        <v>533</v>
      </c>
      <c r="AD2" s="12"/>
      <c r="AE2" s="12"/>
      <c r="AF2" s="112" t="s">
        <v>533</v>
      </c>
      <c r="AG2" s="10"/>
    </row>
    <row r="3" spans="1:988" ht="55.2" customHeight="1">
      <c r="A3" s="28" t="s">
        <v>4</v>
      </c>
      <c r="B3" s="29" t="s">
        <v>196</v>
      </c>
      <c r="C3" s="101" t="str">
        <f>INDEX(Nomenclature[],MATCH(Actions[[#This Row],[Libellé court Fidji ACT 
(choisir d''abord la famille)]],Nomenclature[Libellé court type d''action],0),2)</f>
        <v>Isoler par l'extérieur (ITE) la toiture</v>
      </c>
      <c r="D3" s="28" t="s">
        <v>6</v>
      </c>
      <c r="E3" s="7" t="s">
        <v>430</v>
      </c>
      <c r="F3" s="158"/>
      <c r="G3" s="7"/>
      <c r="H3" s="7"/>
      <c r="I3" s="7"/>
      <c r="J3" s="7" t="str" cm="1">
        <f t="array" ref="J3">INDEX(Nomenclature[],MATCH(Actions[[#This Row],[Libellé court Fidji ACT 
(choisir d''abord la famille)]],Nomenclature[Libellé court type d''action],0),COLUMN(Nomenclature[A suivre avec le propriétaire]))</f>
        <v>Propriétaire</v>
      </c>
      <c r="K3" s="7"/>
      <c r="L3" s="112" t="s">
        <v>533</v>
      </c>
      <c r="M3" s="7"/>
      <c r="N3" s="7" t="str" cm="1">
        <f t="array" ref="N3">INDEX(Nomenclature[],MATCH(Actions[[#This Row],[Libellé court Fidji ACT 
(choisir d''abord la famille)]],Nomenclature[Libellé court type d''action],0),COLUMN(Nomenclature[Quick win]))</f>
        <v>Rénovation lourde</v>
      </c>
      <c r="O3" s="8"/>
      <c r="P3" s="8"/>
      <c r="Q3" s="8"/>
      <c r="R3" s="8"/>
      <c r="S3" s="8"/>
      <c r="T3" s="8"/>
      <c r="U3" s="8"/>
      <c r="V3" s="112" t="s">
        <v>533</v>
      </c>
      <c r="W3" s="11" t="s">
        <v>430</v>
      </c>
      <c r="X3" s="11"/>
      <c r="Y3" s="8"/>
      <c r="Z3" s="7"/>
      <c r="AA3" s="7" t="str" cm="1">
        <f t="array" ref="AA3">INDEX(Nomenclature[],MATCH(Actions[[#This Row],[Libellé court Fidji ACT 
(choisir d''abord la famille)]],Nomenclature[Libellé court type d''action],0),COLUMN(Nomenclature[Classe d''activité de référence]))</f>
        <v>7.3</v>
      </c>
      <c r="AB3" s="12"/>
      <c r="AC3" s="112" t="s">
        <v>533</v>
      </c>
      <c r="AD3" s="12"/>
      <c r="AE3" s="12"/>
      <c r="AF3" s="112" t="s">
        <v>533</v>
      </c>
    </row>
    <row r="4" spans="1:988" ht="55.2" customHeight="1">
      <c r="A4" s="28" t="s">
        <v>4</v>
      </c>
      <c r="B4" s="29" t="s">
        <v>197</v>
      </c>
      <c r="C4" s="101" t="str">
        <f>INDEX(Nomenclature[],MATCH(Actions[[#This Row],[Libellé court Fidji ACT 
(choisir d''abord la famille)]],Nomenclature[Libellé court type d''action],0),2)</f>
        <v xml:space="preserve">Installer une toiture végétalisée </v>
      </c>
      <c r="D4" s="28" t="s">
        <v>7</v>
      </c>
      <c r="E4" s="7" t="s">
        <v>430</v>
      </c>
      <c r="F4" s="158"/>
      <c r="G4" s="7"/>
      <c r="H4" s="7"/>
      <c r="I4" s="7"/>
      <c r="J4" s="7" t="str" cm="1">
        <f t="array" ref="J4">INDEX(Nomenclature[],MATCH(Actions[[#This Row],[Libellé court Fidji ACT 
(choisir d''abord la famille)]],Nomenclature[Libellé court type d''action],0),COLUMN(Nomenclature[A suivre avec le propriétaire]))</f>
        <v>Propriétaire</v>
      </c>
      <c r="K4" s="7"/>
      <c r="L4" s="112" t="s">
        <v>533</v>
      </c>
      <c r="M4" s="7"/>
      <c r="N4" s="7" t="str" cm="1">
        <f t="array" ref="N4">INDEX(Nomenclature[],MATCH(Actions[[#This Row],[Libellé court Fidji ACT 
(choisir d''abord la famille)]],Nomenclature[Libellé court type d''action],0),COLUMN(Nomenclature[Quick win]))</f>
        <v>Rénovation lourde</v>
      </c>
      <c r="O4" s="8"/>
      <c r="P4" s="8"/>
      <c r="Q4" s="8"/>
      <c r="R4" s="8"/>
      <c r="S4" s="8"/>
      <c r="T4" s="8"/>
      <c r="U4" s="8"/>
      <c r="V4" s="112" t="s">
        <v>533</v>
      </c>
      <c r="W4" s="11" t="s">
        <v>430</v>
      </c>
      <c r="X4" s="11"/>
      <c r="Y4" s="8"/>
      <c r="Z4" s="7"/>
      <c r="AA4" s="7" t="str" cm="1">
        <f t="array" ref="AA4">INDEX(Nomenclature[],MATCH(Actions[[#This Row],[Libellé court Fidji ACT 
(choisir d''abord la famille)]],Nomenclature[Libellé court type d''action],0),COLUMN(Nomenclature[Classe d''activité de référence]))</f>
        <v>7.3</v>
      </c>
      <c r="AB4" s="12"/>
      <c r="AC4" s="112" t="s">
        <v>533</v>
      </c>
      <c r="AD4" s="12"/>
      <c r="AE4" s="12"/>
      <c r="AF4" s="112" t="s">
        <v>533</v>
      </c>
    </row>
    <row r="5" spans="1:988" ht="55.2" customHeight="1">
      <c r="A5" s="28" t="s">
        <v>4</v>
      </c>
      <c r="B5" s="29" t="s">
        <v>198</v>
      </c>
      <c r="C5" s="101" t="str">
        <f>INDEX(Nomenclature[],MATCH(Actions[[#This Row],[Libellé court Fidji ACT 
(choisir d''abord la famille)]],Nomenclature[Libellé court type d''action],0),2)</f>
        <v>Végétaliser une façade</v>
      </c>
      <c r="D5" s="28" t="s">
        <v>8</v>
      </c>
      <c r="E5" s="7" t="s">
        <v>430</v>
      </c>
      <c r="F5" s="158"/>
      <c r="G5" s="7"/>
      <c r="H5" s="7"/>
      <c r="I5" s="7"/>
      <c r="J5" s="7" t="str" cm="1">
        <f t="array" ref="J5">INDEX(Nomenclature[],MATCH(Actions[[#This Row],[Libellé court Fidji ACT 
(choisir d''abord la famille)]],Nomenclature[Libellé court type d''action],0),COLUMN(Nomenclature[A suivre avec le propriétaire]))</f>
        <v>Propriétaire</v>
      </c>
      <c r="K5" s="7"/>
      <c r="L5" s="112" t="s">
        <v>533</v>
      </c>
      <c r="M5" s="7"/>
      <c r="N5" s="7" t="str" cm="1">
        <f t="array" ref="N5">INDEX(Nomenclature[],MATCH(Actions[[#This Row],[Libellé court Fidji ACT 
(choisir d''abord la famille)]],Nomenclature[Libellé court type d''action],0),COLUMN(Nomenclature[Quick win]))</f>
        <v>Rénovation lourde</v>
      </c>
      <c r="O5" s="8"/>
      <c r="P5" s="8"/>
      <c r="Q5" s="8"/>
      <c r="R5" s="8"/>
      <c r="S5" s="8"/>
      <c r="T5" s="8"/>
      <c r="U5" s="8"/>
      <c r="V5" s="112" t="s">
        <v>533</v>
      </c>
      <c r="W5" s="11" t="s">
        <v>430</v>
      </c>
      <c r="X5" s="11"/>
      <c r="Y5" s="8"/>
      <c r="Z5" s="7"/>
      <c r="AA5" s="7" t="str" cm="1">
        <f t="array" ref="AA5">INDEX(Nomenclature[],MATCH(Actions[[#This Row],[Libellé court Fidji ACT 
(choisir d''abord la famille)]],Nomenclature[Libellé court type d''action],0),COLUMN(Nomenclature[Classe d''activité de référence]))</f>
        <v>7.3</v>
      </c>
      <c r="AB5" s="12"/>
      <c r="AC5" s="112" t="s">
        <v>533</v>
      </c>
      <c r="AD5" s="12"/>
      <c r="AE5" s="12"/>
      <c r="AF5" s="112" t="s">
        <v>533</v>
      </c>
    </row>
    <row r="6" spans="1:988" ht="55.2" customHeight="1">
      <c r="A6" s="28" t="s">
        <v>4</v>
      </c>
      <c r="B6" s="29" t="s">
        <v>199</v>
      </c>
      <c r="C6" s="101" t="str">
        <f>INDEX(Nomenclature[],MATCH(Actions[[#This Row],[Libellé court Fidji ACT 
(choisir d''abord la famille)]],Nomenclature[Libellé court type d''action],0),2)</f>
        <v>Appliquer peinture anti-chaleur sur toiture</v>
      </c>
      <c r="D6" s="28" t="s">
        <v>9</v>
      </c>
      <c r="E6" s="7" t="s">
        <v>430</v>
      </c>
      <c r="F6" s="158"/>
      <c r="G6" s="7"/>
      <c r="H6" s="7"/>
      <c r="I6" s="7"/>
      <c r="J6" s="7" t="str" cm="1">
        <f t="array" ref="J6">INDEX(Nomenclature[],MATCH(Actions[[#This Row],[Libellé court Fidji ACT 
(choisir d''abord la famille)]],Nomenclature[Libellé court type d''action],0),COLUMN(Nomenclature[A suivre avec le propriétaire]))</f>
        <v>Propriétaire</v>
      </c>
      <c r="K6" s="7"/>
      <c r="L6" s="112" t="s">
        <v>533</v>
      </c>
      <c r="M6" s="7"/>
      <c r="N6" s="7" t="str" cm="1">
        <f t="array" ref="N6">INDEX(Nomenclature[],MATCH(Actions[[#This Row],[Libellé court Fidji ACT 
(choisir d''abord la famille)]],Nomenclature[Libellé court type d''action],0),COLUMN(Nomenclature[Quick win]))</f>
        <v>Rénovation légère</v>
      </c>
      <c r="O6" s="8"/>
      <c r="P6" s="8"/>
      <c r="Q6" s="8"/>
      <c r="R6" s="8"/>
      <c r="S6" s="8"/>
      <c r="T6" s="8"/>
      <c r="U6" s="8"/>
      <c r="V6" s="112" t="s">
        <v>533</v>
      </c>
      <c r="W6" s="11" t="s">
        <v>430</v>
      </c>
      <c r="X6" s="11"/>
      <c r="Y6" s="8"/>
      <c r="Z6" s="7"/>
      <c r="AA6" s="7" t="str" cm="1">
        <f t="array" ref="AA6">INDEX(Nomenclature[],MATCH(Actions[[#This Row],[Libellé court Fidji ACT 
(choisir d''abord la famille)]],Nomenclature[Libellé court type d''action],0),COLUMN(Nomenclature[Classe d''activité de référence]))</f>
        <v>7.3</v>
      </c>
      <c r="AB6" s="12"/>
      <c r="AC6" s="112" t="s">
        <v>533</v>
      </c>
      <c r="AD6" s="12"/>
      <c r="AE6" s="12"/>
      <c r="AF6" s="112" t="s">
        <v>533</v>
      </c>
    </row>
    <row r="7" spans="1:988" ht="55.2" customHeight="1">
      <c r="A7" s="28" t="s">
        <v>4</v>
      </c>
      <c r="B7" s="29" t="s">
        <v>200</v>
      </c>
      <c r="C7" s="101" t="str">
        <f>INDEX(Nomenclature[],MATCH(Actions[[#This Row],[Libellé court Fidji ACT 
(choisir d''abord la famille)]],Nomenclature[Libellé court type d''action],0),2)</f>
        <v>Isoler par l'intérieur (ITI)</v>
      </c>
      <c r="D7" s="28" t="s">
        <v>10</v>
      </c>
      <c r="E7" s="7" t="s">
        <v>430</v>
      </c>
      <c r="F7" s="158"/>
      <c r="G7" s="7"/>
      <c r="H7" s="7"/>
      <c r="I7" s="7"/>
      <c r="J7" s="7" t="str" cm="1">
        <f t="array" ref="J7">INDEX(Nomenclature[],MATCH(Actions[[#This Row],[Libellé court Fidji ACT 
(choisir d''abord la famille)]],Nomenclature[Libellé court type d''action],0),COLUMN(Nomenclature[A suivre avec le propriétaire]))</f>
        <v>Propriétaire</v>
      </c>
      <c r="K7" s="7"/>
      <c r="L7" s="112" t="s">
        <v>533</v>
      </c>
      <c r="M7" s="7"/>
      <c r="N7" s="7" t="s">
        <v>496</v>
      </c>
      <c r="O7" s="8"/>
      <c r="P7" s="8"/>
      <c r="Q7" s="8"/>
      <c r="R7" s="8"/>
      <c r="S7" s="8"/>
      <c r="T7" s="8"/>
      <c r="U7" s="8"/>
      <c r="V7" s="112" t="s">
        <v>533</v>
      </c>
      <c r="W7" s="11" t="s">
        <v>430</v>
      </c>
      <c r="X7" s="11"/>
      <c r="Y7" s="8"/>
      <c r="Z7" s="7"/>
      <c r="AA7" s="7" t="s">
        <v>556</v>
      </c>
      <c r="AB7" s="12"/>
      <c r="AC7" s="112" t="s">
        <v>533</v>
      </c>
      <c r="AD7" s="12"/>
      <c r="AE7" s="12"/>
      <c r="AF7" s="112" t="s">
        <v>533</v>
      </c>
    </row>
    <row r="8" spans="1:988" ht="55.2" customHeight="1">
      <c r="A8" s="28" t="s">
        <v>4</v>
      </c>
      <c r="B8" s="29" t="s">
        <v>201</v>
      </c>
      <c r="C8" s="101" t="str">
        <f>INDEX(Nomenclature[],MATCH(Actions[[#This Row],[Libellé court Fidji ACT 
(choisir d''abord la famille)]],Nomenclature[Libellé court type d''action],0),2)</f>
        <v>Protéger du soleil la façade / les menuiseries (brise-soleil, store, films solaires, arbres,…)</v>
      </c>
      <c r="D8" s="28" t="s">
        <v>11</v>
      </c>
      <c r="E8" s="7" t="s">
        <v>430</v>
      </c>
      <c r="F8" s="158"/>
      <c r="G8" s="7"/>
      <c r="H8" s="7"/>
      <c r="I8" s="7"/>
      <c r="J8" s="7" t="str" cm="1">
        <f t="array" ref="J8">INDEX(Nomenclature[],MATCH(Actions[[#This Row],[Libellé court Fidji ACT 
(choisir d''abord la famille)]],Nomenclature[Libellé court type d''action],0),COLUMN(Nomenclature[A suivre avec le propriétaire]))</f>
        <v>Propriétaire</v>
      </c>
      <c r="K8" s="7"/>
      <c r="L8" s="112" t="s">
        <v>533</v>
      </c>
      <c r="M8" s="7"/>
      <c r="N8" s="7" t="s">
        <v>496</v>
      </c>
      <c r="O8" s="8"/>
      <c r="P8" s="8"/>
      <c r="Q8" s="8"/>
      <c r="R8" s="8"/>
      <c r="S8" s="8"/>
      <c r="T8" s="8"/>
      <c r="U8" s="8"/>
      <c r="V8" s="112" t="s">
        <v>533</v>
      </c>
      <c r="W8" s="11" t="s">
        <v>430</v>
      </c>
      <c r="X8" s="11"/>
      <c r="Y8" s="8"/>
      <c r="Z8" s="7"/>
      <c r="AA8" s="7" t="str" cm="1">
        <f t="array" ref="AA8">INDEX(Nomenclature[],MATCH(Actions[[#This Row],[Libellé court Fidji ACT 
(choisir d''abord la famille)]],Nomenclature[Libellé court type d''action],0),COLUMN(Nomenclature[Classe d''activité de référence]))</f>
        <v>7.5</v>
      </c>
      <c r="AB8" s="12"/>
      <c r="AC8" s="112" t="s">
        <v>533</v>
      </c>
      <c r="AD8" s="12"/>
      <c r="AE8" s="12"/>
      <c r="AF8" s="112" t="s">
        <v>533</v>
      </c>
    </row>
    <row r="9" spans="1:988" ht="55.2" customHeight="1">
      <c r="A9" s="28" t="s">
        <v>4</v>
      </c>
      <c r="B9" s="29" t="s">
        <v>202</v>
      </c>
      <c r="C9" s="101" t="str">
        <f>INDEX(Nomenclature[],MATCH(Actions[[#This Row],[Libellé court Fidji ACT 
(choisir d''abord la famille)]],Nomenclature[Libellé court type d''action],0),2)</f>
        <v>Remplacer menuiseries extérieures par modèle plus performant sur le plan énergétique</v>
      </c>
      <c r="D9" s="28" t="s">
        <v>12</v>
      </c>
      <c r="E9" s="7" t="s">
        <v>430</v>
      </c>
      <c r="F9" s="158"/>
      <c r="G9" s="7"/>
      <c r="H9" s="7"/>
      <c r="I9" s="7"/>
      <c r="J9" s="7" t="str" cm="1">
        <f t="array" ref="J9">INDEX(Nomenclature[],MATCH(Actions[[#This Row],[Libellé court Fidji ACT 
(choisir d''abord la famille)]],Nomenclature[Libellé court type d''action],0),COLUMN(Nomenclature[A suivre avec le propriétaire]))</f>
        <v>Propriétaire</v>
      </c>
      <c r="K9" s="7"/>
      <c r="L9" s="112" t="s">
        <v>533</v>
      </c>
      <c r="M9" s="7"/>
      <c r="N9" s="7" t="s">
        <v>497</v>
      </c>
      <c r="O9" s="8"/>
      <c r="P9" s="8"/>
      <c r="Q9" s="8"/>
      <c r="R9" s="8"/>
      <c r="S9" s="8"/>
      <c r="T9" s="8"/>
      <c r="U9" s="8"/>
      <c r="V9" s="112" t="s">
        <v>533</v>
      </c>
      <c r="W9" s="11" t="s">
        <v>430</v>
      </c>
      <c r="X9" s="11"/>
      <c r="Y9" s="8"/>
      <c r="Z9" s="7"/>
      <c r="AA9" s="7" t="str" cm="1">
        <f t="array" ref="AA9">INDEX(Nomenclature[],MATCH(Actions[[#This Row],[Libellé court Fidji ACT 
(choisir d''abord la famille)]],Nomenclature[Libellé court type d''action],0),COLUMN(Nomenclature[Classe d''activité de référence]))</f>
        <v>7.3</v>
      </c>
      <c r="AB9" s="12"/>
      <c r="AC9" s="112" t="s">
        <v>533</v>
      </c>
      <c r="AD9" s="12"/>
      <c r="AE9" s="12"/>
      <c r="AF9" s="112" t="s">
        <v>533</v>
      </c>
    </row>
    <row r="10" spans="1:988" ht="55.2" customHeight="1">
      <c r="A10" s="28" t="s">
        <v>4</v>
      </c>
      <c r="B10" s="29" t="s">
        <v>203</v>
      </c>
      <c r="C10" s="101" t="str">
        <f>INDEX(Nomenclature[],MATCH(Actions[[#This Row],[Libellé court Fidji ACT 
(choisir d''abord la famille)]],Nomenclature[Libellé court type d''action],0),2)</f>
        <v>Isoler le plancher bas en contact avec un vide sanitaire ou un terre-plein</v>
      </c>
      <c r="D10" s="28" t="s">
        <v>13</v>
      </c>
      <c r="E10" s="7" t="s">
        <v>430</v>
      </c>
      <c r="F10" s="158"/>
      <c r="G10" s="7"/>
      <c r="H10" s="7"/>
      <c r="I10" s="7" t="str" cm="1">
        <f t="array" ref="I10">INDEX(Nomenclature[],MATCH(Actions[[#This Row],[Libellé court Fidji ACT 
(choisir d''abord la famille)]],Nomenclature[Libellé court type d''action],0),COLUMN(Nomenclature[A suivre avec le mainteneur]))</f>
        <v xml:space="preserve"> </v>
      </c>
      <c r="J10" s="7" t="str" cm="1">
        <f t="array" ref="J10">INDEX(Nomenclature[],MATCH(Actions[[#This Row],[Libellé court Fidji ACT 
(choisir d''abord la famille)]],Nomenclature[Libellé court type d''action],0),COLUMN(Nomenclature[A suivre avec le propriétaire]))</f>
        <v>Propriétaire</v>
      </c>
      <c r="K10" s="7"/>
      <c r="L10" s="112" t="s">
        <v>533</v>
      </c>
      <c r="M10" s="7"/>
      <c r="N10" s="7" t="s">
        <v>497</v>
      </c>
      <c r="O10" s="8"/>
      <c r="P10" s="8"/>
      <c r="Q10" s="8"/>
      <c r="R10" s="8"/>
      <c r="S10" s="8"/>
      <c r="T10" s="8"/>
      <c r="U10" s="8"/>
      <c r="V10" s="112" t="s">
        <v>533</v>
      </c>
      <c r="W10" s="11" t="s">
        <v>430</v>
      </c>
      <c r="X10" s="11"/>
      <c r="Y10" s="8"/>
      <c r="Z10" s="7"/>
      <c r="AA10" s="7" t="str" cm="1">
        <f t="array" ref="AA10">INDEX(Nomenclature[],MATCH(Actions[[#This Row],[Libellé court Fidji ACT 
(choisir d''abord la famille)]],Nomenclature[Libellé court type d''action],0),COLUMN(Nomenclature[Classe d''activité de référence]))</f>
        <v>7.3</v>
      </c>
      <c r="AB10" s="12"/>
      <c r="AC10" s="112" t="s">
        <v>533</v>
      </c>
      <c r="AD10" s="12"/>
      <c r="AE10" s="12"/>
      <c r="AF10" s="112" t="s">
        <v>533</v>
      </c>
    </row>
    <row r="11" spans="1:988" ht="55.2" customHeight="1">
      <c r="A11" s="28" t="s">
        <v>4</v>
      </c>
      <c r="B11" s="29" t="s">
        <v>204</v>
      </c>
      <c r="C11" s="101" t="str">
        <f>INDEX(Nomenclature[],MATCH(Actions[[#This Row],[Libellé court Fidji ACT 
(choisir d''abord la famille)]],Nomenclature[Libellé court type d''action],0),2)</f>
        <v>Isoler le plancher haut (combles ou terrasse)</v>
      </c>
      <c r="D11" s="28" t="s">
        <v>14</v>
      </c>
      <c r="E11" s="7" t="s">
        <v>430</v>
      </c>
      <c r="F11" s="158"/>
      <c r="G11" s="7"/>
      <c r="H11" s="7"/>
      <c r="I11" s="7" t="str" cm="1">
        <f t="array" ref="I11">INDEX(Nomenclature[],MATCH(Actions[[#This Row],[Libellé court Fidji ACT 
(choisir d''abord la famille)]],Nomenclature[Libellé court type d''action],0),COLUMN(Nomenclature[A suivre avec le mainteneur]))</f>
        <v xml:space="preserve"> </v>
      </c>
      <c r="J11" s="7" t="str" cm="1">
        <f t="array" ref="J11">INDEX(Nomenclature[],MATCH(Actions[[#This Row],[Libellé court Fidji ACT 
(choisir d''abord la famille)]],Nomenclature[Libellé court type d''action],0),COLUMN(Nomenclature[A suivre avec le propriétaire]))</f>
        <v>Propriétaire</v>
      </c>
      <c r="K11" s="7"/>
      <c r="L11" s="112" t="s">
        <v>533</v>
      </c>
      <c r="M11" s="7"/>
      <c r="N11" s="7" t="s">
        <v>497</v>
      </c>
      <c r="O11" s="8"/>
      <c r="P11" s="8"/>
      <c r="Q11" s="8"/>
      <c r="R11" s="8"/>
      <c r="S11" s="8"/>
      <c r="T11" s="8"/>
      <c r="U11" s="8"/>
      <c r="V11" s="112" t="s">
        <v>533</v>
      </c>
      <c r="W11" s="11" t="s">
        <v>430</v>
      </c>
      <c r="X11" s="11"/>
      <c r="Y11" s="8"/>
      <c r="Z11" s="7"/>
      <c r="AA11" s="7" t="str" cm="1">
        <f t="array" ref="AA11">INDEX(Nomenclature[],MATCH(Actions[[#This Row],[Libellé court Fidji ACT 
(choisir d''abord la famille)]],Nomenclature[Libellé court type d''action],0),COLUMN(Nomenclature[Classe d''activité de référence]))</f>
        <v>7.3</v>
      </c>
      <c r="AB11" s="12"/>
      <c r="AC11" s="112" t="s">
        <v>533</v>
      </c>
      <c r="AD11" s="12"/>
      <c r="AE11" s="12"/>
      <c r="AF11" s="112" t="s">
        <v>533</v>
      </c>
    </row>
    <row r="12" spans="1:988" ht="55.2" customHeight="1">
      <c r="A12" s="28" t="s">
        <v>4</v>
      </c>
      <c r="B12" s="29" t="s">
        <v>205</v>
      </c>
      <c r="C12" s="101" t="str">
        <f>INDEX(Nomenclature[],MATCH(Actions[[#This Row],[Libellé court Fidji ACT 
(choisir d''abord la famille)]],Nomenclature[Libellé court type d''action],0),2)</f>
        <v>Remplacer façade existante (mur-rideau, ...) par solution écoénergétique</v>
      </c>
      <c r="D12" s="28" t="s">
        <v>15</v>
      </c>
      <c r="E12" s="7" t="s">
        <v>430</v>
      </c>
      <c r="F12" s="158"/>
      <c r="G12" s="7"/>
      <c r="H12" s="7"/>
      <c r="I12" s="7" t="str" cm="1">
        <f t="array" ref="I12">INDEX(Nomenclature[],MATCH(Actions[[#This Row],[Libellé court Fidji ACT 
(choisir d''abord la famille)]],Nomenclature[Libellé court type d''action],0),COLUMN(Nomenclature[A suivre avec le mainteneur]))</f>
        <v xml:space="preserve"> </v>
      </c>
      <c r="J12" s="7" t="str" cm="1">
        <f t="array" ref="J12">INDEX(Nomenclature[],MATCH(Actions[[#This Row],[Libellé court Fidji ACT 
(choisir d''abord la famille)]],Nomenclature[Libellé court type d''action],0),COLUMN(Nomenclature[A suivre avec le propriétaire]))</f>
        <v>Propriétaire</v>
      </c>
      <c r="K12" s="7"/>
      <c r="L12" s="112" t="s">
        <v>533</v>
      </c>
      <c r="M12" s="7"/>
      <c r="N12" s="7" t="str" cm="1">
        <f t="array" ref="N12">INDEX(Nomenclature[],MATCH(Actions[[#This Row],[Libellé court Fidji ACT 
(choisir d''abord la famille)]],Nomenclature[Libellé court type d''action],0),COLUMN(Nomenclature[Quick win]))</f>
        <v>Rénovation lourde</v>
      </c>
      <c r="O12" s="8"/>
      <c r="P12" s="8"/>
      <c r="Q12" s="8"/>
      <c r="R12" s="8"/>
      <c r="S12" s="8"/>
      <c r="T12" s="8"/>
      <c r="U12" s="8"/>
      <c r="V12" s="112" t="s">
        <v>533</v>
      </c>
      <c r="W12" s="11" t="s">
        <v>430</v>
      </c>
      <c r="X12" s="11"/>
      <c r="Y12" s="8"/>
      <c r="Z12" s="7"/>
      <c r="AA12" s="7" t="str" cm="1">
        <f t="array" ref="AA12">INDEX(Nomenclature[],MATCH(Actions[[#This Row],[Libellé court Fidji ACT 
(choisir d''abord la famille)]],Nomenclature[Libellé court type d''action],0),COLUMN(Nomenclature[Classe d''activité de référence]))</f>
        <v>7.3</v>
      </c>
      <c r="AB12" s="12"/>
      <c r="AC12" s="112" t="s">
        <v>533</v>
      </c>
      <c r="AD12" s="12"/>
      <c r="AE12" s="12"/>
      <c r="AF12" s="112" t="s">
        <v>533</v>
      </c>
    </row>
    <row r="13" spans="1:988" ht="55.2" customHeight="1">
      <c r="A13" s="28" t="s">
        <v>17</v>
      </c>
      <c r="B13" s="29" t="s">
        <v>207</v>
      </c>
      <c r="C13" s="101" t="str">
        <f>INDEX(Nomenclature[],MATCH(Actions[[#This Row],[Libellé court Fidji ACT 
(choisir d''abord la famille)]],Nomenclature[Libellé court type d''action],0),2)</f>
        <v>Automatiser extinction de l’ éclairage quand espace inoccupé (détecteur, programmation)</v>
      </c>
      <c r="D13" s="28" t="s">
        <v>343</v>
      </c>
      <c r="E13" s="7" t="s">
        <v>430</v>
      </c>
      <c r="F13" s="158"/>
      <c r="G13" s="7"/>
      <c r="H13" s="7"/>
      <c r="I13" s="7" t="str" cm="1">
        <f t="array" ref="I13">INDEX(Nomenclature[],MATCH(Actions[[#This Row],[Libellé court Fidji ACT 
(choisir d''abord la famille)]],Nomenclature[Libellé court type d''action],0),COLUMN(Nomenclature[A suivre avec le mainteneur]))</f>
        <v xml:space="preserve"> </v>
      </c>
      <c r="J13" s="7" t="str" cm="1">
        <f t="array" ref="J13">INDEX(Nomenclature[],MATCH(Actions[[#This Row],[Libellé court Fidji ACT 
(choisir d''abord la famille)]],Nomenclature[Libellé court type d''action],0),COLUMN(Nomenclature[A suivre avec le propriétaire]))</f>
        <v xml:space="preserve"> </v>
      </c>
      <c r="K13" s="7"/>
      <c r="L13" s="112" t="s">
        <v>533</v>
      </c>
      <c r="M13" s="7"/>
      <c r="N13" s="7" t="str" cm="1">
        <f t="array" ref="N13">INDEX(Nomenclature[],MATCH(Actions[[#This Row],[Libellé court Fidji ACT 
(choisir d''abord la famille)]],Nomenclature[Libellé court type d''action],0),COLUMN(Nomenclature[Quick win]))</f>
        <v>Quick win</v>
      </c>
      <c r="O13" s="8"/>
      <c r="P13" s="8"/>
      <c r="Q13" s="8"/>
      <c r="R13" s="8"/>
      <c r="S13" s="8"/>
      <c r="T13" s="8"/>
      <c r="U13" s="8"/>
      <c r="V13" s="112" t="s">
        <v>533</v>
      </c>
      <c r="W13" s="11" t="s">
        <v>430</v>
      </c>
      <c r="X13" s="11"/>
      <c r="Y13" s="7"/>
      <c r="Z13" s="7"/>
      <c r="AA13" s="7" t="str" cm="1">
        <f t="array" ref="AA13">INDEX(Nomenclature[],MATCH(Actions[[#This Row],[Libellé court Fidji ACT 
(choisir d''abord la famille)]],Nomenclature[Libellé court type d''action],0),COLUMN(Nomenclature[Classe d''activité de référence]))</f>
        <v>7.5</v>
      </c>
      <c r="AB13" s="12"/>
      <c r="AC13" s="112" t="s">
        <v>533</v>
      </c>
      <c r="AD13" s="12"/>
      <c r="AE13" s="12"/>
      <c r="AF13" s="112" t="s">
        <v>533</v>
      </c>
    </row>
    <row r="14" spans="1:988" ht="55.2" customHeight="1">
      <c r="A14" s="28" t="s">
        <v>17</v>
      </c>
      <c r="B14" s="29" t="s">
        <v>208</v>
      </c>
      <c r="C14" s="101" t="str">
        <f>INDEX(Nomenclature[],MATCH(Actions[[#This Row],[Libellé court Fidji ACT 
(choisir d''abord la famille)]],Nomenclature[Libellé court type d''action],0),2)</f>
        <v>Graduer l’éclairage intérieur / extérieur en fonction des apports de lumière du jour</v>
      </c>
      <c r="D14" s="28" t="s">
        <v>18</v>
      </c>
      <c r="E14" s="7" t="s">
        <v>430</v>
      </c>
      <c r="F14" s="158"/>
      <c r="G14" s="7"/>
      <c r="H14" s="7"/>
      <c r="I14" s="7" t="str" cm="1">
        <f t="array" ref="I14">INDEX(Nomenclature[],MATCH(Actions[[#This Row],[Libellé court Fidji ACT 
(choisir d''abord la famille)]],Nomenclature[Libellé court type d''action],0),COLUMN(Nomenclature[A suivre avec le mainteneur]))</f>
        <v>Mainteneur</v>
      </c>
      <c r="J14" s="7" t="str" cm="1">
        <f t="array" ref="J14">INDEX(Nomenclature[],MATCH(Actions[[#This Row],[Libellé court Fidji ACT 
(choisir d''abord la famille)]],Nomenclature[Libellé court type d''action],0),COLUMN(Nomenclature[A suivre avec le propriétaire]))</f>
        <v xml:space="preserve"> </v>
      </c>
      <c r="K14" s="7"/>
      <c r="L14" s="112" t="s">
        <v>533</v>
      </c>
      <c r="M14" s="7"/>
      <c r="N14" s="7" t="str" cm="1">
        <f t="array" ref="N14">INDEX(Nomenclature[],MATCH(Actions[[#This Row],[Libellé court Fidji ACT 
(choisir d''abord la famille)]],Nomenclature[Libellé court type d''action],0),COLUMN(Nomenclature[Quick win]))</f>
        <v>Quick win</v>
      </c>
      <c r="O14" s="8"/>
      <c r="P14" s="8"/>
      <c r="Q14" s="8"/>
      <c r="R14" s="8"/>
      <c r="S14" s="8"/>
      <c r="T14" s="8"/>
      <c r="U14" s="8"/>
      <c r="V14" s="112" t="s">
        <v>533</v>
      </c>
      <c r="W14" s="11" t="s">
        <v>430</v>
      </c>
      <c r="X14" s="11"/>
      <c r="Y14" s="7"/>
      <c r="Z14" s="7"/>
      <c r="AA14" s="7" t="str" cm="1">
        <f t="array" ref="AA14">INDEX(Nomenclature[],MATCH(Actions[[#This Row],[Libellé court Fidji ACT 
(choisir d''abord la famille)]],Nomenclature[Libellé court type d''action],0),COLUMN(Nomenclature[Classe d''activité de référence]))</f>
        <v>7.5</v>
      </c>
      <c r="AB14" s="12"/>
      <c r="AC14" s="112" t="s">
        <v>533</v>
      </c>
      <c r="AD14" s="12"/>
      <c r="AE14" s="12"/>
      <c r="AF14" s="112" t="s">
        <v>533</v>
      </c>
    </row>
    <row r="15" spans="1:988" ht="55.2" customHeight="1">
      <c r="A15" s="28" t="s">
        <v>17</v>
      </c>
      <c r="B15" s="29" t="s">
        <v>209</v>
      </c>
      <c r="C15" s="101" t="str">
        <f>INDEX(Nomenclature[],MATCH(Actions[[#This Row],[Libellé court Fidji ACT 
(choisir d''abord la famille)]],Nomenclature[Libellé court type d''action],0),2)</f>
        <v>Réduire durée éclairage extérieur la nuit et l'éteindre le plus tôt possible</v>
      </c>
      <c r="D15" s="28" t="s">
        <v>344</v>
      </c>
      <c r="E15" s="7" t="s">
        <v>430</v>
      </c>
      <c r="F15" s="158"/>
      <c r="G15" s="7"/>
      <c r="H15" s="7"/>
      <c r="I15" s="7" t="str" cm="1">
        <f t="array" ref="I15">INDEX(Nomenclature[],MATCH(Actions[[#This Row],[Libellé court Fidji ACT 
(choisir d''abord la famille)]],Nomenclature[Libellé court type d''action],0),COLUMN(Nomenclature[A suivre avec le mainteneur]))</f>
        <v>Mainteneur</v>
      </c>
      <c r="J15" s="7" t="str" cm="1">
        <f t="array" ref="J15">INDEX(Nomenclature[],MATCH(Actions[[#This Row],[Libellé court Fidji ACT 
(choisir d''abord la famille)]],Nomenclature[Libellé court type d''action],0),COLUMN(Nomenclature[A suivre avec le propriétaire]))</f>
        <v xml:space="preserve"> </v>
      </c>
      <c r="K15" s="7"/>
      <c r="L15" s="112" t="s">
        <v>533</v>
      </c>
      <c r="M15" s="7"/>
      <c r="N15" s="7" t="str" cm="1">
        <f t="array" ref="N15">INDEX(Nomenclature[],MATCH(Actions[[#This Row],[Libellé court Fidji ACT 
(choisir d''abord la famille)]],Nomenclature[Libellé court type d''action],0),COLUMN(Nomenclature[Quick win]))</f>
        <v>Quick win</v>
      </c>
      <c r="O15" s="8"/>
      <c r="P15" s="8"/>
      <c r="Q15" s="8"/>
      <c r="R15" s="8"/>
      <c r="S15" s="8"/>
      <c r="T15" s="8"/>
      <c r="U15" s="8"/>
      <c r="V15" s="112" t="s">
        <v>533</v>
      </c>
      <c r="W15" s="11" t="s">
        <v>430</v>
      </c>
      <c r="X15" s="11"/>
      <c r="Y15" s="7"/>
      <c r="Z15" s="7"/>
      <c r="AA15" s="7" t="str" cm="1">
        <f t="array" ref="AA15">INDEX(Nomenclature[],MATCH(Actions[[#This Row],[Libellé court Fidji ACT 
(choisir d''abord la famille)]],Nomenclature[Libellé court type d''action],0),COLUMN(Nomenclature[Classe d''activité de référence]))</f>
        <v>7.5</v>
      </c>
      <c r="AB15" s="12"/>
      <c r="AC15" s="112" t="s">
        <v>533</v>
      </c>
      <c r="AD15" s="12"/>
      <c r="AE15" s="12"/>
      <c r="AF15" s="112" t="s">
        <v>533</v>
      </c>
    </row>
    <row r="16" spans="1:988" ht="55.2" customHeight="1">
      <c r="A16" s="28" t="s">
        <v>17</v>
      </c>
      <c r="B16" s="29" t="s">
        <v>210</v>
      </c>
      <c r="C16" s="101" t="str">
        <f>INDEX(Nomenclature[],MATCH(Actions[[#This Row],[Libellé court Fidji ACT 
(choisir d''abord la famille)]],Nomenclature[Libellé court type d''action],0),2)</f>
        <v>Optimiser l’apport d’éclairage naturel (créer puit de lumière, changer menuiseries, vitrages)</v>
      </c>
      <c r="D16" s="28" t="s">
        <v>19</v>
      </c>
      <c r="E16" s="7" t="s">
        <v>430</v>
      </c>
      <c r="F16" s="158"/>
      <c r="G16" s="7"/>
      <c r="H16" s="7"/>
      <c r="I16" s="7" t="str" cm="1">
        <f t="array" ref="I16">INDEX(Nomenclature[],MATCH(Actions[[#This Row],[Libellé court Fidji ACT 
(choisir d''abord la famille)]],Nomenclature[Libellé court type d''action],0),COLUMN(Nomenclature[A suivre avec le mainteneur]))</f>
        <v xml:space="preserve"> </v>
      </c>
      <c r="J16" s="7" t="str" cm="1">
        <f t="array" ref="J16">INDEX(Nomenclature[],MATCH(Actions[[#This Row],[Libellé court Fidji ACT 
(choisir d''abord la famille)]],Nomenclature[Libellé court type d''action],0),COLUMN(Nomenclature[A suivre avec le propriétaire]))</f>
        <v>Propriétaire</v>
      </c>
      <c r="K16" s="7"/>
      <c r="L16" s="112" t="s">
        <v>533</v>
      </c>
      <c r="M16" s="7"/>
      <c r="N16" s="7" t="str" cm="1">
        <f t="array" ref="N16">INDEX(Nomenclature[],MATCH(Actions[[#This Row],[Libellé court Fidji ACT 
(choisir d''abord la famille)]],Nomenclature[Libellé court type d''action],0),COLUMN(Nomenclature[Quick win]))</f>
        <v>Quick win</v>
      </c>
      <c r="O16" s="8"/>
      <c r="P16" s="8"/>
      <c r="Q16" s="8"/>
      <c r="R16" s="8"/>
      <c r="S16" s="8"/>
      <c r="T16" s="8"/>
      <c r="U16" s="8"/>
      <c r="V16" s="112" t="s">
        <v>533</v>
      </c>
      <c r="W16" s="11" t="s">
        <v>430</v>
      </c>
      <c r="X16" s="11"/>
      <c r="Y16" s="7"/>
      <c r="Z16" s="7"/>
      <c r="AA16" s="7" t="str" cm="1">
        <f t="array" ref="AA16">INDEX(Nomenclature[],MATCH(Actions[[#This Row],[Libellé court Fidji ACT 
(choisir d''abord la famille)]],Nomenclature[Libellé court type d''action],0),COLUMN(Nomenclature[Classe d''activité de référence]))</f>
        <v>7.3</v>
      </c>
      <c r="AB16" s="12"/>
      <c r="AC16" s="112" t="s">
        <v>533</v>
      </c>
      <c r="AD16" s="12"/>
      <c r="AE16" s="12"/>
      <c r="AF16" s="112" t="s">
        <v>533</v>
      </c>
    </row>
    <row r="17" spans="1:32" ht="55.2" customHeight="1">
      <c r="A17" s="28" t="s">
        <v>17</v>
      </c>
      <c r="B17" s="29" t="s">
        <v>211</v>
      </c>
      <c r="C17" s="101" t="str">
        <f>INDEX(Nomenclature[],MATCH(Actions[[#This Row],[Libellé court Fidji ACT 
(choisir d''abord la famille)]],Nomenclature[Libellé court type d''action],0),2)</f>
        <v>Moderniser l’éclairage avec des sources lumineuses économes en énergie</v>
      </c>
      <c r="D17" s="28" t="s">
        <v>20</v>
      </c>
      <c r="E17" s="7" t="s">
        <v>430</v>
      </c>
      <c r="F17" s="158"/>
      <c r="G17" s="7"/>
      <c r="H17" s="7"/>
      <c r="I17" s="7" t="str" cm="1">
        <f t="array" ref="I17">INDEX(Nomenclature[],MATCH(Actions[[#This Row],[Libellé court Fidji ACT 
(choisir d''abord la famille)]],Nomenclature[Libellé court type d''action],0),COLUMN(Nomenclature[A suivre avec le mainteneur]))</f>
        <v>Mainteneur</v>
      </c>
      <c r="J17" s="7" t="str" cm="1">
        <f t="array" ref="J17">INDEX(Nomenclature[],MATCH(Actions[[#This Row],[Libellé court Fidji ACT 
(choisir d''abord la famille)]],Nomenclature[Libellé court type d''action],0),COLUMN(Nomenclature[A suivre avec le propriétaire]))</f>
        <v xml:space="preserve"> </v>
      </c>
      <c r="K17" s="7"/>
      <c r="L17" s="112" t="s">
        <v>533</v>
      </c>
      <c r="M17" s="7"/>
      <c r="N17" s="7" t="str" cm="1">
        <f t="array" ref="N17">INDEX(Nomenclature[],MATCH(Actions[[#This Row],[Libellé court Fidji ACT 
(choisir d''abord la famille)]],Nomenclature[Libellé court type d''action],0),COLUMN(Nomenclature[Quick win]))</f>
        <v>Quick win</v>
      </c>
      <c r="O17" s="8"/>
      <c r="P17" s="8"/>
      <c r="Q17" s="8"/>
      <c r="R17" s="8"/>
      <c r="S17" s="8"/>
      <c r="T17" s="8"/>
      <c r="U17" s="8"/>
      <c r="V17" s="112" t="s">
        <v>533</v>
      </c>
      <c r="W17" s="11" t="s">
        <v>430</v>
      </c>
      <c r="X17" s="11"/>
      <c r="Y17" s="7"/>
      <c r="Z17" s="7"/>
      <c r="AA17" s="7" t="str" cm="1">
        <f t="array" ref="AA17">INDEX(Nomenclature[],MATCH(Actions[[#This Row],[Libellé court Fidji ACT 
(choisir d''abord la famille)]],Nomenclature[Libellé court type d''action],0),COLUMN(Nomenclature[Classe d''activité de référence]))</f>
        <v>7.3</v>
      </c>
      <c r="AB17" s="12"/>
      <c r="AC17" s="112" t="s">
        <v>533</v>
      </c>
      <c r="AD17" s="12"/>
      <c r="AE17" s="12"/>
      <c r="AF17" s="112" t="s">
        <v>533</v>
      </c>
    </row>
    <row r="18" spans="1:32" ht="55.2" customHeight="1">
      <c r="A18" s="28" t="s">
        <v>17</v>
      </c>
      <c r="B18" s="29" t="s">
        <v>212</v>
      </c>
      <c r="C18" s="101" t="str">
        <f>INDEX(Nomenclature[],MATCH(Actions[[#This Row],[Libellé court Fidji ACT 
(choisir d''abord la famille)]],Nomenclature[Libellé court type d''action],0),2)</f>
        <v>Eteindre les écrans de publicité &amp; les enseignes lumineuses la nuit le plus tôt possible</v>
      </c>
      <c r="D18" s="28" t="s">
        <v>21</v>
      </c>
      <c r="E18" s="7" t="s">
        <v>430</v>
      </c>
      <c r="F18" s="158"/>
      <c r="G18" s="7"/>
      <c r="H18" s="7"/>
      <c r="I18" s="7" t="str" cm="1">
        <f t="array" ref="I18">INDEX(Nomenclature[],MATCH(Actions[[#This Row],[Libellé court Fidji ACT 
(choisir d''abord la famille)]],Nomenclature[Libellé court type d''action],0),COLUMN(Nomenclature[A suivre avec le mainteneur]))</f>
        <v xml:space="preserve"> </v>
      </c>
      <c r="J18" s="7" t="str" cm="1">
        <f t="array" ref="J18">INDEX(Nomenclature[],MATCH(Actions[[#This Row],[Libellé court Fidji ACT 
(choisir d''abord la famille)]],Nomenclature[Libellé court type d''action],0),COLUMN(Nomenclature[A suivre avec le propriétaire]))</f>
        <v xml:space="preserve"> </v>
      </c>
      <c r="K18" s="7"/>
      <c r="L18" s="112" t="s">
        <v>533</v>
      </c>
      <c r="M18" s="7"/>
      <c r="N18" s="7" t="s">
        <v>496</v>
      </c>
      <c r="O18" s="8"/>
      <c r="P18" s="8"/>
      <c r="Q18" s="8"/>
      <c r="R18" s="8"/>
      <c r="S18" s="8"/>
      <c r="T18" s="8"/>
      <c r="U18" s="8"/>
      <c r="V18" s="112" t="s">
        <v>533</v>
      </c>
      <c r="W18" s="11" t="s">
        <v>430</v>
      </c>
      <c r="X18" s="11"/>
      <c r="Y18" s="7"/>
      <c r="Z18" s="7"/>
      <c r="AA18" s="7" t="str" cm="1">
        <f t="array" ref="AA18">INDEX(Nomenclature[],MATCH(Actions[[#This Row],[Libellé court Fidji ACT 
(choisir d''abord la famille)]],Nomenclature[Libellé court type d''action],0),COLUMN(Nomenclature[Classe d''activité de référence]))</f>
        <v>7.5</v>
      </c>
      <c r="AB18" s="12"/>
      <c r="AC18" s="112" t="s">
        <v>533</v>
      </c>
      <c r="AD18" s="12"/>
      <c r="AE18" s="12"/>
      <c r="AF18" s="112" t="s">
        <v>533</v>
      </c>
    </row>
    <row r="19" spans="1:32" ht="55.2" customHeight="1">
      <c r="A19" s="28" t="s">
        <v>17</v>
      </c>
      <c r="B19" s="29" t="s">
        <v>213</v>
      </c>
      <c r="C19" s="101" t="str">
        <f>INDEX(Nomenclature[],MATCH(Actions[[#This Row],[Libellé court Fidji ACT 
(choisir d''abord la famille)]],Nomenclature[Libellé court type d''action],0),2)</f>
        <v>Installer un système de commande de l’éclairage </v>
      </c>
      <c r="D19" s="28" t="s">
        <v>22</v>
      </c>
      <c r="E19" s="7" t="s">
        <v>430</v>
      </c>
      <c r="F19" s="158"/>
      <c r="G19" s="7"/>
      <c r="H19" s="7"/>
      <c r="I19" s="7" t="str" cm="1">
        <f t="array" ref="I19">INDEX(Nomenclature[],MATCH(Actions[[#This Row],[Libellé court Fidji ACT 
(choisir d''abord la famille)]],Nomenclature[Libellé court type d''action],0),COLUMN(Nomenclature[A suivre avec le mainteneur]))</f>
        <v>Mainteneur</v>
      </c>
      <c r="J19" s="7" t="str" cm="1">
        <f t="array" ref="J19">INDEX(Nomenclature[],MATCH(Actions[[#This Row],[Libellé court Fidji ACT 
(choisir d''abord la famille)]],Nomenclature[Libellé court type d''action],0),COLUMN(Nomenclature[A suivre avec le propriétaire]))</f>
        <v xml:space="preserve"> </v>
      </c>
      <c r="K19" s="7"/>
      <c r="L19" s="112" t="s">
        <v>533</v>
      </c>
      <c r="M19" s="7"/>
      <c r="N19" s="7" t="str" cm="1">
        <f t="array" ref="N19">INDEX(Nomenclature[],MATCH(Actions[[#This Row],[Libellé court Fidji ACT 
(choisir d''abord la famille)]],Nomenclature[Libellé court type d''action],0),COLUMN(Nomenclature[Quick win]))</f>
        <v>Rénovation légère</v>
      </c>
      <c r="O19" s="8"/>
      <c r="P19" s="8"/>
      <c r="Q19" s="8"/>
      <c r="R19" s="8"/>
      <c r="S19" s="8"/>
      <c r="T19" s="8"/>
      <c r="U19" s="8"/>
      <c r="V19" s="112" t="s">
        <v>533</v>
      </c>
      <c r="W19" s="11" t="s">
        <v>430</v>
      </c>
      <c r="X19" s="11"/>
      <c r="Y19" s="7"/>
      <c r="Z19" s="7"/>
      <c r="AA19" s="7" t="str" cm="1">
        <f t="array" ref="AA19">INDEX(Nomenclature[],MATCH(Actions[[#This Row],[Libellé court Fidji ACT 
(choisir d''abord la famille)]],Nomenclature[Libellé court type d''action],0),COLUMN(Nomenclature[Classe d''activité de référence]))</f>
        <v>7.5</v>
      </c>
      <c r="AB19" s="12"/>
      <c r="AC19" s="112" t="s">
        <v>533</v>
      </c>
      <c r="AD19" s="12"/>
      <c r="AE19" s="12"/>
      <c r="AF19" s="112" t="s">
        <v>533</v>
      </c>
    </row>
    <row r="20" spans="1:32" ht="55.2" customHeight="1">
      <c r="A20" s="28" t="s">
        <v>17</v>
      </c>
      <c r="B20" s="29" t="s">
        <v>214</v>
      </c>
      <c r="C20" s="101" t="str">
        <f>INDEX(Nomenclature[],MATCH(Actions[[#This Row],[Libellé court Fidji ACT 
(choisir d''abord la famille)]],Nomenclature[Libellé court type d''action],0),2)</f>
        <v>Piloter l'éclairage depuis le système d'automatisation et de contrôle du bâtiment (BACS)</v>
      </c>
      <c r="D20" s="28" t="s">
        <v>23</v>
      </c>
      <c r="E20" s="7" t="s">
        <v>430</v>
      </c>
      <c r="F20" s="159"/>
      <c r="G20" s="13"/>
      <c r="H20" s="7"/>
      <c r="I20" s="7" t="str" cm="1">
        <f t="array" ref="I20">INDEX(Nomenclature[],MATCH(Actions[[#This Row],[Libellé court Fidji ACT 
(choisir d''abord la famille)]],Nomenclature[Libellé court type d''action],0),COLUMN(Nomenclature[A suivre avec le mainteneur]))</f>
        <v>Mainteneur</v>
      </c>
      <c r="J20" s="13" t="str" cm="1">
        <f t="array" ref="J20">INDEX(Nomenclature[],MATCH(Actions[[#This Row],[Libellé court Fidji ACT 
(choisir d''abord la famille)]],Nomenclature[Libellé court type d''action],0),COLUMN(Nomenclature[A suivre avec le propriétaire]))</f>
        <v xml:space="preserve"> </v>
      </c>
      <c r="K20" s="13"/>
      <c r="L20" s="112" t="s">
        <v>533</v>
      </c>
      <c r="M20" s="13"/>
      <c r="N20" s="13" t="str" cm="1">
        <f t="array" ref="N20">INDEX(Nomenclature[],MATCH(Actions[[#This Row],[Libellé court Fidji ACT 
(choisir d''abord la famille)]],Nomenclature[Libellé court type d''action],0),COLUMN(Nomenclature[Quick win]))</f>
        <v>Rénovation légère</v>
      </c>
      <c r="O20" s="150"/>
      <c r="P20" s="150"/>
      <c r="Q20" s="150"/>
      <c r="R20" s="150"/>
      <c r="S20" s="150"/>
      <c r="T20" s="150"/>
      <c r="U20" s="150"/>
      <c r="V20" s="112" t="s">
        <v>533</v>
      </c>
      <c r="W20" s="11" t="s">
        <v>430</v>
      </c>
      <c r="X20" s="157"/>
      <c r="Y20" s="13"/>
      <c r="Z20" s="13"/>
      <c r="AA20" s="13" t="str" cm="1">
        <f t="array" ref="AA20">INDEX(Nomenclature[],MATCH(Actions[[#This Row],[Libellé court Fidji ACT 
(choisir d''abord la famille)]],Nomenclature[Libellé court type d''action],0),COLUMN(Nomenclature[Classe d''activité de référence]))</f>
        <v>7.5</v>
      </c>
      <c r="AB20" s="14"/>
      <c r="AC20" s="112" t="s">
        <v>533</v>
      </c>
      <c r="AD20" s="14"/>
      <c r="AE20" s="14"/>
      <c r="AF20" s="112" t="s">
        <v>533</v>
      </c>
    </row>
    <row r="21" spans="1:32" ht="55.2" customHeight="1">
      <c r="A21" s="28" t="s">
        <v>25</v>
      </c>
      <c r="B21" s="29" t="s">
        <v>216</v>
      </c>
      <c r="C21" s="101" t="str">
        <f>INDEX(Nomenclature[],MATCH(Actions[[#This Row],[Libellé court Fidji ACT 
(choisir d''abord la famille)]],Nomenclature[Libellé court type d''action],0),2)</f>
        <v>Réduire la saison de chauffe (retarder le début et avancer la fin)</v>
      </c>
      <c r="D21" s="28" t="s">
        <v>26</v>
      </c>
      <c r="E21" s="7" t="s">
        <v>430</v>
      </c>
      <c r="F21" s="158"/>
      <c r="G21" s="7"/>
      <c r="H21" s="7"/>
      <c r="I21" s="7" t="str" cm="1">
        <f t="array" ref="I21">INDEX(Nomenclature[],MATCH(Actions[[#This Row],[Libellé court Fidji ACT 
(choisir d''abord la famille)]],Nomenclature[Libellé court type d''action],0),COLUMN(Nomenclature[A suivre avec le mainteneur]))</f>
        <v>Mainteneur</v>
      </c>
      <c r="J21" s="7" t="str" cm="1">
        <f t="array" ref="J21">INDEX(Nomenclature[],MATCH(Actions[[#This Row],[Libellé court Fidji ACT 
(choisir d''abord la famille)]],Nomenclature[Libellé court type d''action],0),COLUMN(Nomenclature[A suivre avec le propriétaire]))</f>
        <v xml:space="preserve"> </v>
      </c>
      <c r="K21" s="7"/>
      <c r="L21" s="112" t="s">
        <v>533</v>
      </c>
      <c r="M21" s="7"/>
      <c r="N21" s="7" t="str" cm="1">
        <f t="array" ref="N21">INDEX(Nomenclature[],MATCH(Actions[[#This Row],[Libellé court Fidji ACT 
(choisir d''abord la famille)]],Nomenclature[Libellé court type d''action],0),COLUMN(Nomenclature[Quick win]))</f>
        <v>Quick win</v>
      </c>
      <c r="O21" s="8"/>
      <c r="P21" s="8"/>
      <c r="Q21" s="8"/>
      <c r="R21" s="8"/>
      <c r="S21" s="8"/>
      <c r="T21" s="8"/>
      <c r="U21" s="8"/>
      <c r="V21" s="112" t="s">
        <v>533</v>
      </c>
      <c r="W21" s="11" t="s">
        <v>430</v>
      </c>
      <c r="X21" s="11"/>
      <c r="Y21" s="7"/>
      <c r="Z21" s="7"/>
      <c r="AA21" s="7" t="str" cm="1">
        <f t="array" ref="AA21">INDEX(Nomenclature[],MATCH(Actions[[#This Row],[Libellé court Fidji ACT 
(choisir d''abord la famille)]],Nomenclature[Libellé court type d''action],0),COLUMN(Nomenclature[Classe d''activité de référence]))</f>
        <v>7.5</v>
      </c>
      <c r="AB21" s="12"/>
      <c r="AC21" s="112" t="s">
        <v>533</v>
      </c>
      <c r="AD21" s="12"/>
      <c r="AE21" s="12"/>
      <c r="AF21" s="112" t="s">
        <v>533</v>
      </c>
    </row>
    <row r="22" spans="1:32" ht="55.2" customHeight="1">
      <c r="A22" s="28" t="s">
        <v>25</v>
      </c>
      <c r="B22" s="29" t="s">
        <v>217</v>
      </c>
      <c r="C22" s="101" t="str">
        <f>INDEX(Nomenclature[],MATCH(Actions[[#This Row],[Libellé court Fidji ACT 
(choisir d''abord la famille)]],Nomenclature[Libellé court type d''action],0),2)</f>
        <v>Baisser t° chauffage quand site inoccupé sur courte durée (par ex. 16°C nuit &amp; WE)</v>
      </c>
      <c r="D22" s="28" t="s">
        <v>27</v>
      </c>
      <c r="E22" s="7" t="s">
        <v>430</v>
      </c>
      <c r="F22" s="158"/>
      <c r="G22" s="7"/>
      <c r="H22" s="7"/>
      <c r="I22" s="7" t="str" cm="1">
        <f t="array" ref="I22">INDEX(Nomenclature[],MATCH(Actions[[#This Row],[Libellé court Fidji ACT 
(choisir d''abord la famille)]],Nomenclature[Libellé court type d''action],0),COLUMN(Nomenclature[A suivre avec le mainteneur]))</f>
        <v>Mainteneur</v>
      </c>
      <c r="J22" s="7" t="str" cm="1">
        <f t="array" ref="J22">INDEX(Nomenclature[],MATCH(Actions[[#This Row],[Libellé court Fidji ACT 
(choisir d''abord la famille)]],Nomenclature[Libellé court type d''action],0),COLUMN(Nomenclature[A suivre avec le propriétaire]))</f>
        <v xml:space="preserve"> </v>
      </c>
      <c r="K22" s="7"/>
      <c r="L22" s="112" t="s">
        <v>533</v>
      </c>
      <c r="M22" s="7"/>
      <c r="N22" s="7" t="str" cm="1">
        <f t="array" ref="N22">INDEX(Nomenclature[],MATCH(Actions[[#This Row],[Libellé court Fidji ACT 
(choisir d''abord la famille)]],Nomenclature[Libellé court type d''action],0),COLUMN(Nomenclature[Quick win]))</f>
        <v>Quick win</v>
      </c>
      <c r="O22" s="8"/>
      <c r="P22" s="8"/>
      <c r="Q22" s="8"/>
      <c r="R22" s="8"/>
      <c r="S22" s="8"/>
      <c r="T22" s="8"/>
      <c r="U22" s="8"/>
      <c r="V22" s="112" t="s">
        <v>533</v>
      </c>
      <c r="W22" s="11" t="s">
        <v>430</v>
      </c>
      <c r="X22" s="11"/>
      <c r="Y22" s="7"/>
      <c r="Z22" s="7"/>
      <c r="AA22" s="7" t="str" cm="1">
        <f t="array" ref="AA22">INDEX(Nomenclature[],MATCH(Actions[[#This Row],[Libellé court Fidji ACT 
(choisir d''abord la famille)]],Nomenclature[Libellé court type d''action],0),COLUMN(Nomenclature[Classe d''activité de référence]))</f>
        <v>7.5</v>
      </c>
      <c r="AB22" s="12"/>
      <c r="AC22" s="112" t="s">
        <v>533</v>
      </c>
      <c r="AD22" s="12"/>
      <c r="AE22" s="12"/>
      <c r="AF22" s="112" t="s">
        <v>533</v>
      </c>
    </row>
    <row r="23" spans="1:32" ht="55.2" customHeight="1">
      <c r="A23" s="28" t="s">
        <v>25</v>
      </c>
      <c r="B23" s="29" t="s">
        <v>218</v>
      </c>
      <c r="C23" s="101" t="str">
        <f>INDEX(Nomenclature[],MATCH(Actions[[#This Row],[Libellé court Fidji ACT 
(choisir d''abord la famille)]],Nomenclature[Libellé court type d''action],0),2)</f>
        <v>Mettre le bâtiment hors-gel (7°C) lorsqu'inoccupé pendant plus de 3 jours</v>
      </c>
      <c r="D23" s="28" t="s">
        <v>28</v>
      </c>
      <c r="E23" s="7" t="s">
        <v>430</v>
      </c>
      <c r="F23" s="158"/>
      <c r="G23" s="7"/>
      <c r="H23" s="7"/>
      <c r="I23" s="7" t="str" cm="1">
        <f t="array" ref="I23">INDEX(Nomenclature[],MATCH(Actions[[#This Row],[Libellé court Fidji ACT 
(choisir d''abord la famille)]],Nomenclature[Libellé court type d''action],0),COLUMN(Nomenclature[A suivre avec le mainteneur]))</f>
        <v>Mainteneur</v>
      </c>
      <c r="J23" s="7" t="str" cm="1">
        <f t="array" ref="J23">INDEX(Nomenclature[],MATCH(Actions[[#This Row],[Libellé court Fidji ACT 
(choisir d''abord la famille)]],Nomenclature[Libellé court type d''action],0),COLUMN(Nomenclature[A suivre avec le propriétaire]))</f>
        <v xml:space="preserve"> </v>
      </c>
      <c r="K23" s="7"/>
      <c r="L23" s="112" t="s">
        <v>533</v>
      </c>
      <c r="M23" s="7"/>
      <c r="N23" s="7" t="str" cm="1">
        <f t="array" ref="N23">INDEX(Nomenclature[],MATCH(Actions[[#This Row],[Libellé court Fidji ACT 
(choisir d''abord la famille)]],Nomenclature[Libellé court type d''action],0),COLUMN(Nomenclature[Quick win]))</f>
        <v>Quick win</v>
      </c>
      <c r="O23" s="8"/>
      <c r="P23" s="8"/>
      <c r="Q23" s="8"/>
      <c r="R23" s="8"/>
      <c r="S23" s="8"/>
      <c r="T23" s="8"/>
      <c r="U23" s="8"/>
      <c r="V23" s="112" t="s">
        <v>533</v>
      </c>
      <c r="W23" s="11" t="s">
        <v>430</v>
      </c>
      <c r="X23" s="11"/>
      <c r="Y23" s="7"/>
      <c r="Z23" s="7"/>
      <c r="AA23" s="7" t="str" cm="1">
        <f t="array" ref="AA23">INDEX(Nomenclature[],MATCH(Actions[[#This Row],[Libellé court Fidji ACT 
(choisir d''abord la famille)]],Nomenclature[Libellé court type d''action],0),COLUMN(Nomenclature[Classe d''activité de référence]))</f>
        <v>7.5</v>
      </c>
      <c r="AB23" s="12"/>
      <c r="AC23" s="112" t="s">
        <v>533</v>
      </c>
      <c r="AD23" s="12"/>
      <c r="AE23" s="12"/>
      <c r="AF23" s="112" t="s">
        <v>533</v>
      </c>
    </row>
    <row r="24" spans="1:32" ht="55.2" customHeight="1">
      <c r="A24" s="28" t="s">
        <v>25</v>
      </c>
      <c r="B24" s="29" t="s">
        <v>219</v>
      </c>
      <c r="C24" s="101" t="str">
        <f>INDEX(Nomenclature[],MATCH(Actions[[#This Row],[Libellé court Fidji ACT 
(choisir d''abord la famille)]],Nomenclature[Libellé court type d''action],0),2)</f>
        <v>Optimiser t° consigne climatisation et diminuer t° chauffage suivant réglementation</v>
      </c>
      <c r="D24" s="28" t="s">
        <v>29</v>
      </c>
      <c r="E24" s="7" t="s">
        <v>430</v>
      </c>
      <c r="F24" s="158"/>
      <c r="G24" s="7"/>
      <c r="H24" s="7"/>
      <c r="I24" s="7" t="str" cm="1">
        <f t="array" ref="I24">INDEX(Nomenclature[],MATCH(Actions[[#This Row],[Libellé court Fidji ACT 
(choisir d''abord la famille)]],Nomenclature[Libellé court type d''action],0),COLUMN(Nomenclature[A suivre avec le mainteneur]))</f>
        <v>Mainteneur</v>
      </c>
      <c r="J24" s="7" t="str" cm="1">
        <f t="array" ref="J24">INDEX(Nomenclature[],MATCH(Actions[[#This Row],[Libellé court Fidji ACT 
(choisir d''abord la famille)]],Nomenclature[Libellé court type d''action],0),COLUMN(Nomenclature[A suivre avec le propriétaire]))</f>
        <v xml:space="preserve"> </v>
      </c>
      <c r="K24" s="7"/>
      <c r="L24" s="112" t="s">
        <v>533</v>
      </c>
      <c r="M24" s="7"/>
      <c r="N24" s="7" t="str" cm="1">
        <f t="array" ref="N24">INDEX(Nomenclature[],MATCH(Actions[[#This Row],[Libellé court Fidji ACT 
(choisir d''abord la famille)]],Nomenclature[Libellé court type d''action],0),COLUMN(Nomenclature[Quick win]))</f>
        <v>Quick win</v>
      </c>
      <c r="O24" s="8"/>
      <c r="P24" s="8"/>
      <c r="Q24" s="8"/>
      <c r="R24" s="8"/>
      <c r="S24" s="8"/>
      <c r="T24" s="8"/>
      <c r="U24" s="8"/>
      <c r="V24" s="112" t="s">
        <v>533</v>
      </c>
      <c r="W24" s="11" t="s">
        <v>430</v>
      </c>
      <c r="X24" s="11"/>
      <c r="Y24" s="7"/>
      <c r="Z24" s="7"/>
      <c r="AA24" s="7" t="str" cm="1">
        <f t="array" ref="AA24">INDEX(Nomenclature[],MATCH(Actions[[#This Row],[Libellé court Fidji ACT 
(choisir d''abord la famille)]],Nomenclature[Libellé court type d''action],0),COLUMN(Nomenclature[Classe d''activité de référence]))</f>
        <v>7.5</v>
      </c>
      <c r="AB24" s="12"/>
      <c r="AC24" s="112" t="s">
        <v>533</v>
      </c>
      <c r="AD24" s="12"/>
      <c r="AE24" s="12"/>
      <c r="AF24" s="112" t="s">
        <v>533</v>
      </c>
    </row>
    <row r="25" spans="1:32" ht="55.2" customHeight="1">
      <c r="A25" s="28" t="s">
        <v>25</v>
      </c>
      <c r="B25" s="29" t="s">
        <v>220</v>
      </c>
      <c r="C25" s="101" t="str">
        <f>INDEX(Nomenclature[],MATCH(Actions[[#This Row],[Libellé court Fidji ACT 
(choisir d''abord la famille)]],Nomenclature[Libellé court type d''action],0),2)</f>
        <v>Adapter t° aux besoins, par ex. à l’aide de thermostats / détection / zonage</v>
      </c>
      <c r="D25" s="28" t="s">
        <v>30</v>
      </c>
      <c r="E25" s="7" t="s">
        <v>430</v>
      </c>
      <c r="F25" s="158"/>
      <c r="G25" s="7"/>
      <c r="H25" s="7"/>
      <c r="I25" s="7" t="str" cm="1">
        <f t="array" ref="I25">INDEX(Nomenclature[],MATCH(Actions[[#This Row],[Libellé court Fidji ACT 
(choisir d''abord la famille)]],Nomenclature[Libellé court type d''action],0),COLUMN(Nomenclature[A suivre avec le mainteneur]))</f>
        <v>Mainteneur</v>
      </c>
      <c r="J25" s="7" t="str" cm="1">
        <f t="array" ref="J25">INDEX(Nomenclature[],MATCH(Actions[[#This Row],[Libellé court Fidji ACT 
(choisir d''abord la famille)]],Nomenclature[Libellé court type d''action],0),COLUMN(Nomenclature[A suivre avec le propriétaire]))</f>
        <v xml:space="preserve"> </v>
      </c>
      <c r="K25" s="7"/>
      <c r="L25" s="112" t="s">
        <v>533</v>
      </c>
      <c r="M25" s="7"/>
      <c r="N25" s="7" t="str" cm="1">
        <f t="array" ref="N25">INDEX(Nomenclature[],MATCH(Actions[[#This Row],[Libellé court Fidji ACT 
(choisir d''abord la famille)]],Nomenclature[Libellé court type d''action],0),COLUMN(Nomenclature[Quick win]))</f>
        <v>Quick win</v>
      </c>
      <c r="O25" s="8"/>
      <c r="P25" s="8"/>
      <c r="Q25" s="8"/>
      <c r="R25" s="8"/>
      <c r="S25" s="8"/>
      <c r="T25" s="8"/>
      <c r="U25" s="8"/>
      <c r="V25" s="112" t="s">
        <v>533</v>
      </c>
      <c r="W25" s="11" t="s">
        <v>430</v>
      </c>
      <c r="X25" s="11"/>
      <c r="Y25" s="7"/>
      <c r="Z25" s="7"/>
      <c r="AA25" s="7" t="str" cm="1">
        <f t="array" ref="AA25">INDEX(Nomenclature[],MATCH(Actions[[#This Row],[Libellé court Fidji ACT 
(choisir d''abord la famille)]],Nomenclature[Libellé court type d''action],0),COLUMN(Nomenclature[Classe d''activité de référence]))</f>
        <v>7.5</v>
      </c>
      <c r="AB25" s="12"/>
      <c r="AC25" s="112" t="s">
        <v>533</v>
      </c>
      <c r="AD25" s="12"/>
      <c r="AE25" s="12"/>
      <c r="AF25" s="112" t="s">
        <v>533</v>
      </c>
    </row>
    <row r="26" spans="1:32" ht="55.2" customHeight="1">
      <c r="A26" s="28" t="s">
        <v>25</v>
      </c>
      <c r="B26" s="29" t="s">
        <v>221</v>
      </c>
      <c r="C26" s="101" t="str">
        <f>INDEX(Nomenclature[],MATCH(Actions[[#This Row],[Libellé court Fidji ACT 
(choisir d''abord la famille)]],Nomenclature[Libellé court type d''action],0),2)</f>
        <v>Asservir apport air neuf au taux d’occupation (sauf pièces humides)</v>
      </c>
      <c r="D26" s="28" t="s">
        <v>31</v>
      </c>
      <c r="E26" s="7" t="s">
        <v>430</v>
      </c>
      <c r="F26" s="158"/>
      <c r="G26" s="7"/>
      <c r="H26" s="7"/>
      <c r="I26" s="7" t="str" cm="1">
        <f t="array" ref="I26">INDEX(Nomenclature[],MATCH(Actions[[#This Row],[Libellé court Fidji ACT 
(choisir d''abord la famille)]],Nomenclature[Libellé court type d''action],0),COLUMN(Nomenclature[A suivre avec le mainteneur]))</f>
        <v>Mainteneur</v>
      </c>
      <c r="J26" s="7" t="str" cm="1">
        <f t="array" ref="J26">INDEX(Nomenclature[],MATCH(Actions[[#This Row],[Libellé court Fidji ACT 
(choisir d''abord la famille)]],Nomenclature[Libellé court type d''action],0),COLUMN(Nomenclature[A suivre avec le propriétaire]))</f>
        <v xml:space="preserve"> </v>
      </c>
      <c r="K26" s="7"/>
      <c r="L26" s="112" t="s">
        <v>533</v>
      </c>
      <c r="M26" s="7"/>
      <c r="N26" s="7" t="str" cm="1">
        <f t="array" ref="N26">INDEX(Nomenclature[],MATCH(Actions[[#This Row],[Libellé court Fidji ACT 
(choisir d''abord la famille)]],Nomenclature[Libellé court type d''action],0),COLUMN(Nomenclature[Quick win]))</f>
        <v>Quick win</v>
      </c>
      <c r="O26" s="8"/>
      <c r="P26" s="8"/>
      <c r="Q26" s="8"/>
      <c r="R26" s="8"/>
      <c r="S26" s="8"/>
      <c r="T26" s="8"/>
      <c r="U26" s="8"/>
      <c r="V26" s="112" t="s">
        <v>533</v>
      </c>
      <c r="W26" s="11" t="s">
        <v>430</v>
      </c>
      <c r="X26" s="11"/>
      <c r="Y26" s="7"/>
      <c r="Z26" s="7"/>
      <c r="AA26" s="7" t="str" cm="1">
        <f t="array" ref="AA26">INDEX(Nomenclature[],MATCH(Actions[[#This Row],[Libellé court Fidji ACT 
(choisir d''abord la famille)]],Nomenclature[Libellé court type d''action],0),COLUMN(Nomenclature[Classe d''activité de référence]))</f>
        <v>-</v>
      </c>
      <c r="AB26" s="12"/>
      <c r="AC26" s="112" t="s">
        <v>533</v>
      </c>
      <c r="AD26" s="12"/>
      <c r="AE26" s="12"/>
      <c r="AF26" s="112" t="s">
        <v>533</v>
      </c>
    </row>
    <row r="27" spans="1:32" ht="55.2" customHeight="1">
      <c r="A27" s="28" t="s">
        <v>25</v>
      </c>
      <c r="B27" s="29" t="s">
        <v>222</v>
      </c>
      <c r="C27" s="101" t="str">
        <f>INDEX(Nomenclature[],MATCH(Actions[[#This Row],[Libellé court Fidji ACT 
(choisir d''abord la famille)]],Nomenclature[Libellé court type d''action],0),2)</f>
        <v>Prioriser mode chauffage PAC sur équipement hybride PAC – gaz</v>
      </c>
      <c r="D27" s="28" t="s">
        <v>32</v>
      </c>
      <c r="E27" s="7" t="s">
        <v>430</v>
      </c>
      <c r="F27" s="158"/>
      <c r="G27" s="7"/>
      <c r="H27" s="7"/>
      <c r="I27" s="7" t="str" cm="1">
        <f t="array" ref="I27">INDEX(Nomenclature[],MATCH(Actions[[#This Row],[Libellé court Fidji ACT 
(choisir d''abord la famille)]],Nomenclature[Libellé court type d''action],0),COLUMN(Nomenclature[A suivre avec le mainteneur]))</f>
        <v>Mainteneur</v>
      </c>
      <c r="J27" s="7" t="str" cm="1">
        <f t="array" ref="J27">INDEX(Nomenclature[],MATCH(Actions[[#This Row],[Libellé court Fidji ACT 
(choisir d''abord la famille)]],Nomenclature[Libellé court type d''action],0),COLUMN(Nomenclature[A suivre avec le propriétaire]))</f>
        <v xml:space="preserve"> </v>
      </c>
      <c r="K27" s="7"/>
      <c r="L27" s="112" t="s">
        <v>533</v>
      </c>
      <c r="M27" s="7"/>
      <c r="N27" s="7" t="str" cm="1">
        <f t="array" ref="N27">INDEX(Nomenclature[],MATCH(Actions[[#This Row],[Libellé court Fidji ACT 
(choisir d''abord la famille)]],Nomenclature[Libellé court type d''action],0),COLUMN(Nomenclature[Quick win]))</f>
        <v>Quick win</v>
      </c>
      <c r="O27" s="8"/>
      <c r="P27" s="8"/>
      <c r="Q27" s="8"/>
      <c r="R27" s="8"/>
      <c r="S27" s="8"/>
      <c r="T27" s="8"/>
      <c r="U27" s="8"/>
      <c r="V27" s="112" t="s">
        <v>533</v>
      </c>
      <c r="W27" s="11" t="s">
        <v>430</v>
      </c>
      <c r="X27" s="11"/>
      <c r="Y27" s="7"/>
      <c r="Z27" s="7"/>
      <c r="AA27" s="7" t="str" cm="1">
        <f t="array" ref="AA27">INDEX(Nomenclature[],MATCH(Actions[[#This Row],[Libellé court Fidji ACT 
(choisir d''abord la famille)]],Nomenclature[Libellé court type d''action],0),COLUMN(Nomenclature[Classe d''activité de référence]))</f>
        <v>-</v>
      </c>
      <c r="AB27" s="12"/>
      <c r="AC27" s="112" t="s">
        <v>533</v>
      </c>
      <c r="AD27" s="12"/>
      <c r="AE27" s="12"/>
      <c r="AF27" s="112" t="s">
        <v>533</v>
      </c>
    </row>
    <row r="28" spans="1:32" ht="55.2" customHeight="1">
      <c r="A28" s="28" t="s">
        <v>25</v>
      </c>
      <c r="B28" s="29" t="s">
        <v>223</v>
      </c>
      <c r="C28" s="101" t="str">
        <f>INDEX(Nomenclature[],MATCH(Actions[[#This Row],[Libellé court Fidji ACT 
(choisir d''abord la famille)]],Nomenclature[Libellé court type d''action],0),2)</f>
        <v>Décaler horaire remise en chauffe pour éviter appel de Puissance en heure de pointe</v>
      </c>
      <c r="D28" s="28" t="s">
        <v>33</v>
      </c>
      <c r="E28" s="7" t="s">
        <v>430</v>
      </c>
      <c r="F28" s="158"/>
      <c r="G28" s="7"/>
      <c r="H28" s="7"/>
      <c r="I28" s="7" t="str" cm="1">
        <f t="array" ref="I28">INDEX(Nomenclature[],MATCH(Actions[[#This Row],[Libellé court Fidji ACT 
(choisir d''abord la famille)]],Nomenclature[Libellé court type d''action],0),COLUMN(Nomenclature[A suivre avec le mainteneur]))</f>
        <v>Mainteneur</v>
      </c>
      <c r="J28" s="7" t="str" cm="1">
        <f t="array" ref="J28">INDEX(Nomenclature[],MATCH(Actions[[#This Row],[Libellé court Fidji ACT 
(choisir d''abord la famille)]],Nomenclature[Libellé court type d''action],0),COLUMN(Nomenclature[A suivre avec le propriétaire]))</f>
        <v xml:space="preserve"> </v>
      </c>
      <c r="K28" s="7"/>
      <c r="L28" s="112" t="s">
        <v>533</v>
      </c>
      <c r="M28" s="7"/>
      <c r="N28" s="7" t="str" cm="1">
        <f t="array" ref="N28">INDEX(Nomenclature[],MATCH(Actions[[#This Row],[Libellé court Fidji ACT 
(choisir d''abord la famille)]],Nomenclature[Libellé court type d''action],0),COLUMN(Nomenclature[Quick win]))</f>
        <v>Quick win</v>
      </c>
      <c r="O28" s="8"/>
      <c r="P28" s="8"/>
      <c r="Q28" s="8"/>
      <c r="R28" s="8"/>
      <c r="S28" s="8"/>
      <c r="T28" s="8"/>
      <c r="U28" s="8"/>
      <c r="V28" s="112" t="s">
        <v>533</v>
      </c>
      <c r="W28" s="11" t="s">
        <v>430</v>
      </c>
      <c r="X28" s="11"/>
      <c r="Y28" s="7"/>
      <c r="Z28" s="7"/>
      <c r="AA28" s="7" t="str" cm="1">
        <f t="array" ref="AA28">INDEX(Nomenclature[],MATCH(Actions[[#This Row],[Libellé court Fidji ACT 
(choisir d''abord la famille)]],Nomenclature[Libellé court type d''action],0),COLUMN(Nomenclature[Classe d''activité de référence]))</f>
        <v>-</v>
      </c>
      <c r="AB28" s="12"/>
      <c r="AC28" s="112" t="s">
        <v>533</v>
      </c>
      <c r="AD28" s="12"/>
      <c r="AE28" s="12"/>
      <c r="AF28" s="112" t="s">
        <v>533</v>
      </c>
    </row>
    <row r="29" spans="1:32" ht="55.2" customHeight="1">
      <c r="A29" s="28" t="s">
        <v>25</v>
      </c>
      <c r="B29" s="29" t="s">
        <v>224</v>
      </c>
      <c r="C29" s="101" t="str">
        <f>INDEX(Nomenclature[],MATCH(Actions[[#This Row],[Libellé court Fidji ACT 
(choisir d''abord la famille)]],Nomenclature[Libellé court type d''action],0),2)</f>
        <v xml:space="preserve">Couper l'alimentation des équipements non utilisés sur une période prolongée </v>
      </c>
      <c r="D29" s="28" t="s">
        <v>34</v>
      </c>
      <c r="E29" s="7" t="s">
        <v>430</v>
      </c>
      <c r="F29" s="158"/>
      <c r="G29" s="7"/>
      <c r="H29" s="7"/>
      <c r="I29" s="7" t="str" cm="1">
        <f t="array" ref="I29">INDEX(Nomenclature[],MATCH(Actions[[#This Row],[Libellé court Fidji ACT 
(choisir d''abord la famille)]],Nomenclature[Libellé court type d''action],0),COLUMN(Nomenclature[A suivre avec le mainteneur]))</f>
        <v>Mainteneur</v>
      </c>
      <c r="J29" s="7" t="str" cm="1">
        <f t="array" ref="J29">INDEX(Nomenclature[],MATCH(Actions[[#This Row],[Libellé court Fidji ACT 
(choisir d''abord la famille)]],Nomenclature[Libellé court type d''action],0),COLUMN(Nomenclature[A suivre avec le propriétaire]))</f>
        <v xml:space="preserve"> </v>
      </c>
      <c r="K29" s="7"/>
      <c r="L29" s="112" t="s">
        <v>533</v>
      </c>
      <c r="M29" s="7"/>
      <c r="N29" s="7" t="str" cm="1">
        <f t="array" ref="N29">INDEX(Nomenclature[],MATCH(Actions[[#This Row],[Libellé court Fidji ACT 
(choisir d''abord la famille)]],Nomenclature[Libellé court type d''action],0),COLUMN(Nomenclature[Quick win]))</f>
        <v>Quick win</v>
      </c>
      <c r="O29" s="8"/>
      <c r="P29" s="8"/>
      <c r="Q29" s="8"/>
      <c r="R29" s="8"/>
      <c r="S29" s="8"/>
      <c r="T29" s="8"/>
      <c r="U29" s="8"/>
      <c r="V29" s="112" t="s">
        <v>533</v>
      </c>
      <c r="W29" s="11" t="s">
        <v>430</v>
      </c>
      <c r="X29" s="11"/>
      <c r="Y29" s="7"/>
      <c r="Z29" s="7"/>
      <c r="AA29" s="7" t="str" cm="1">
        <f t="array" ref="AA29">INDEX(Nomenclature[],MATCH(Actions[[#This Row],[Libellé court Fidji ACT 
(choisir d''abord la famille)]],Nomenclature[Libellé court type d''action],0),COLUMN(Nomenclature[Classe d''activité de référence]))</f>
        <v>7.5</v>
      </c>
      <c r="AB29" s="12"/>
      <c r="AC29" s="112" t="s">
        <v>533</v>
      </c>
      <c r="AD29" s="12"/>
      <c r="AE29" s="12"/>
      <c r="AF29" s="112" t="s">
        <v>533</v>
      </c>
    </row>
    <row r="30" spans="1:32" ht="55.2" customHeight="1">
      <c r="A30" s="28" t="s">
        <v>25</v>
      </c>
      <c r="B30" s="29" t="s">
        <v>225</v>
      </c>
      <c r="C30" s="101" t="str">
        <f>INDEX(Nomenclature[],MATCH(Actions[[#This Row],[Libellé court Fidji ACT 
(choisir d''abord la famille)]],Nomenclature[Libellé court type d''action],0),2)</f>
        <v>Vérifier réglage HP BP flottante sur centrale eau glacée</v>
      </c>
      <c r="D30" s="28" t="s">
        <v>35</v>
      </c>
      <c r="E30" s="7" t="s">
        <v>430</v>
      </c>
      <c r="F30" s="158"/>
      <c r="G30" s="7"/>
      <c r="H30" s="7"/>
      <c r="I30" s="7" t="str" cm="1">
        <f t="array" ref="I30">INDEX(Nomenclature[],MATCH(Actions[[#This Row],[Libellé court Fidji ACT 
(choisir d''abord la famille)]],Nomenclature[Libellé court type d''action],0),COLUMN(Nomenclature[A suivre avec le mainteneur]))</f>
        <v>Mainteneur</v>
      </c>
      <c r="J30" s="7" t="str" cm="1">
        <f t="array" ref="J30">INDEX(Nomenclature[],MATCH(Actions[[#This Row],[Libellé court Fidji ACT 
(choisir d''abord la famille)]],Nomenclature[Libellé court type d''action],0),COLUMN(Nomenclature[A suivre avec le propriétaire]))</f>
        <v xml:space="preserve"> </v>
      </c>
      <c r="K30" s="7"/>
      <c r="L30" s="112" t="s">
        <v>533</v>
      </c>
      <c r="M30" s="7"/>
      <c r="N30" s="7" t="str" cm="1">
        <f t="array" ref="N30">INDEX(Nomenclature[],MATCH(Actions[[#This Row],[Libellé court Fidji ACT 
(choisir d''abord la famille)]],Nomenclature[Libellé court type d''action],0),COLUMN(Nomenclature[Quick win]))</f>
        <v>Quick win</v>
      </c>
      <c r="O30" s="8"/>
      <c r="P30" s="8"/>
      <c r="Q30" s="8"/>
      <c r="R30" s="8"/>
      <c r="S30" s="8"/>
      <c r="T30" s="8"/>
      <c r="U30" s="8"/>
      <c r="V30" s="112" t="s">
        <v>533</v>
      </c>
      <c r="W30" s="11" t="s">
        <v>430</v>
      </c>
      <c r="X30" s="11"/>
      <c r="Y30" s="7"/>
      <c r="Z30" s="7"/>
      <c r="AA30" s="7" t="str" cm="1">
        <f t="array" ref="AA30">INDEX(Nomenclature[],MATCH(Actions[[#This Row],[Libellé court Fidji ACT 
(choisir d''abord la famille)]],Nomenclature[Libellé court type d''action],0),COLUMN(Nomenclature[Classe d''activité de référence]))</f>
        <v>-</v>
      </c>
      <c r="AB30" s="12"/>
      <c r="AC30" s="112" t="s">
        <v>533</v>
      </c>
      <c r="AD30" s="12"/>
      <c r="AE30" s="12"/>
      <c r="AF30" s="112" t="s">
        <v>533</v>
      </c>
    </row>
    <row r="31" spans="1:32" ht="55.2" customHeight="1">
      <c r="A31" s="28" t="s">
        <v>25</v>
      </c>
      <c r="B31" s="29" t="s">
        <v>226</v>
      </c>
      <c r="C31" s="101" t="str">
        <f>INDEX(Nomenclature[],MATCH(Actions[[#This Row],[Libellé court Fidji ACT 
(choisir d''abord la famille)]],Nomenclature[Libellé court type d''action],0),2)</f>
        <v>Vérifier réglage freecooling</v>
      </c>
      <c r="D31" s="28" t="s">
        <v>36</v>
      </c>
      <c r="E31" s="7" t="s">
        <v>430</v>
      </c>
      <c r="F31" s="158"/>
      <c r="G31" s="7"/>
      <c r="H31" s="7"/>
      <c r="I31" s="7" t="str" cm="1">
        <f t="array" ref="I31">INDEX(Nomenclature[],MATCH(Actions[[#This Row],[Libellé court Fidji ACT 
(choisir d''abord la famille)]],Nomenclature[Libellé court type d''action],0),COLUMN(Nomenclature[A suivre avec le mainteneur]))</f>
        <v>Mainteneur</v>
      </c>
      <c r="J31" s="7" t="str" cm="1">
        <f t="array" ref="J31">INDEX(Nomenclature[],MATCH(Actions[[#This Row],[Libellé court Fidji ACT 
(choisir d''abord la famille)]],Nomenclature[Libellé court type d''action],0),COLUMN(Nomenclature[A suivre avec le propriétaire]))</f>
        <v xml:space="preserve"> </v>
      </c>
      <c r="K31" s="7"/>
      <c r="L31" s="112" t="s">
        <v>533</v>
      </c>
      <c r="M31" s="7"/>
      <c r="N31" s="7" t="str" cm="1">
        <f t="array" ref="N31">INDEX(Nomenclature[],MATCH(Actions[[#This Row],[Libellé court Fidji ACT 
(choisir d''abord la famille)]],Nomenclature[Libellé court type d''action],0),COLUMN(Nomenclature[Quick win]))</f>
        <v>Quick win</v>
      </c>
      <c r="O31" s="8"/>
      <c r="P31" s="8"/>
      <c r="Q31" s="8"/>
      <c r="R31" s="8"/>
      <c r="S31" s="8"/>
      <c r="T31" s="8"/>
      <c r="U31" s="8"/>
      <c r="V31" s="112" t="s">
        <v>533</v>
      </c>
      <c r="W31" s="11" t="s">
        <v>430</v>
      </c>
      <c r="X31" s="11"/>
      <c r="Y31" s="7"/>
      <c r="Z31" s="7"/>
      <c r="AA31" s="7" t="str" cm="1">
        <f t="array" ref="AA31">INDEX(Nomenclature[],MATCH(Actions[[#This Row],[Libellé court Fidji ACT 
(choisir d''abord la famille)]],Nomenclature[Libellé court type d''action],0),COLUMN(Nomenclature[Classe d''activité de référence]))</f>
        <v>-</v>
      </c>
      <c r="AB31" s="12"/>
      <c r="AC31" s="112" t="s">
        <v>533</v>
      </c>
      <c r="AD31" s="12"/>
      <c r="AE31" s="12"/>
      <c r="AF31" s="112" t="s">
        <v>533</v>
      </c>
    </row>
    <row r="32" spans="1:32" ht="55.2" customHeight="1">
      <c r="A32" s="28" t="s">
        <v>25</v>
      </c>
      <c r="B32" s="29" t="s">
        <v>227</v>
      </c>
      <c r="C32" s="101" t="str">
        <f>INDEX(Nomenclature[],MATCH(Actions[[#This Row],[Libellé court Fidji ACT 
(choisir d''abord la famille)]],Nomenclature[Libellé court type d''action],0),2)</f>
        <v>Vérifier réglage des lois d’eau</v>
      </c>
      <c r="D32" s="28" t="s">
        <v>37</v>
      </c>
      <c r="E32" s="7" t="s">
        <v>430</v>
      </c>
      <c r="F32" s="158"/>
      <c r="G32" s="7"/>
      <c r="H32" s="7"/>
      <c r="I32" s="7" t="str" cm="1">
        <f t="array" ref="I32">INDEX(Nomenclature[],MATCH(Actions[[#This Row],[Libellé court Fidji ACT 
(choisir d''abord la famille)]],Nomenclature[Libellé court type d''action],0),COLUMN(Nomenclature[A suivre avec le mainteneur]))</f>
        <v>Mainteneur</v>
      </c>
      <c r="J32" s="7" t="str" cm="1">
        <f t="array" ref="J32">INDEX(Nomenclature[],MATCH(Actions[[#This Row],[Libellé court Fidji ACT 
(choisir d''abord la famille)]],Nomenclature[Libellé court type d''action],0),COLUMN(Nomenclature[A suivre avec le propriétaire]))</f>
        <v xml:space="preserve"> </v>
      </c>
      <c r="K32" s="7"/>
      <c r="L32" s="112" t="s">
        <v>533</v>
      </c>
      <c r="M32" s="7"/>
      <c r="N32" s="7" t="str" cm="1">
        <f t="array" ref="N32">INDEX(Nomenclature[],MATCH(Actions[[#This Row],[Libellé court Fidji ACT 
(choisir d''abord la famille)]],Nomenclature[Libellé court type d''action],0),COLUMN(Nomenclature[Quick win]))</f>
        <v>Quick win</v>
      </c>
      <c r="O32" s="8"/>
      <c r="P32" s="8"/>
      <c r="Q32" s="8"/>
      <c r="R32" s="8"/>
      <c r="S32" s="8"/>
      <c r="T32" s="8"/>
      <c r="U32" s="8"/>
      <c r="V32" s="112" t="s">
        <v>533</v>
      </c>
      <c r="W32" s="11" t="s">
        <v>430</v>
      </c>
      <c r="X32" s="11"/>
      <c r="Y32" s="7"/>
      <c r="Z32" s="7"/>
      <c r="AA32" s="7" t="str" cm="1">
        <f t="array" ref="AA32">INDEX(Nomenclature[],MATCH(Actions[[#This Row],[Libellé court Fidji ACT 
(choisir d''abord la famille)]],Nomenclature[Libellé court type d''action],0),COLUMN(Nomenclature[Classe d''activité de référence]))</f>
        <v>7.3</v>
      </c>
      <c r="AB32" s="12"/>
      <c r="AC32" s="112" t="s">
        <v>533</v>
      </c>
      <c r="AD32" s="12"/>
      <c r="AE32" s="12"/>
      <c r="AF32" s="112" t="s">
        <v>533</v>
      </c>
    </row>
    <row r="33" spans="1:32" ht="55.2" customHeight="1">
      <c r="A33" s="28" t="s">
        <v>39</v>
      </c>
      <c r="B33" s="29" t="s">
        <v>229</v>
      </c>
      <c r="C33" s="101" t="str">
        <f>INDEX(Nomenclature[],MATCH(Actions[[#This Row],[Libellé court Fidji ACT 
(choisir d''abord la famille)]],Nomenclature[Libellé court type d''action],0),2)</f>
        <v>Mettre en place un protocole de maintenance de tous les équipements CVC</v>
      </c>
      <c r="D33" s="28" t="s">
        <v>40</v>
      </c>
      <c r="E33" s="7" t="s">
        <v>430</v>
      </c>
      <c r="F33" s="158"/>
      <c r="G33" s="7"/>
      <c r="H33" s="7"/>
      <c r="I33" s="7" t="str" cm="1">
        <f t="array" ref="I33">INDEX(Nomenclature[],MATCH(Actions[[#This Row],[Libellé court Fidji ACT 
(choisir d''abord la famille)]],Nomenclature[Libellé court type d''action],0),COLUMN(Nomenclature[A suivre avec le mainteneur]))</f>
        <v>Mainteneur</v>
      </c>
      <c r="J33" s="7" t="str" cm="1">
        <f t="array" ref="J33">INDEX(Nomenclature[],MATCH(Actions[[#This Row],[Libellé court Fidji ACT 
(choisir d''abord la famille)]],Nomenclature[Libellé court type d''action],0),COLUMN(Nomenclature[A suivre avec le propriétaire]))</f>
        <v xml:space="preserve"> </v>
      </c>
      <c r="K33" s="7"/>
      <c r="L33" s="112" t="s">
        <v>533</v>
      </c>
      <c r="M33" s="7"/>
      <c r="N33" s="7" t="str" cm="1">
        <f t="array" ref="N33">INDEX(Nomenclature[],MATCH(Actions[[#This Row],[Libellé court Fidji ACT 
(choisir d''abord la famille)]],Nomenclature[Libellé court type d''action],0),COLUMN(Nomenclature[Quick win]))</f>
        <v>Quick win</v>
      </c>
      <c r="O33" s="8"/>
      <c r="P33" s="8"/>
      <c r="Q33" s="8"/>
      <c r="R33" s="8"/>
      <c r="S33" s="8"/>
      <c r="T33" s="8"/>
      <c r="U33" s="8"/>
      <c r="V33" s="112" t="s">
        <v>533</v>
      </c>
      <c r="W33" s="11" t="s">
        <v>430</v>
      </c>
      <c r="X33" s="11"/>
      <c r="Y33" s="7"/>
      <c r="Z33" s="7"/>
      <c r="AA33" s="7" t="str" cm="1">
        <f t="array" ref="AA33">INDEX(Nomenclature[],MATCH(Actions[[#This Row],[Libellé court Fidji ACT 
(choisir d''abord la famille)]],Nomenclature[Libellé court type d''action],0),COLUMN(Nomenclature[Classe d''activité de référence]))</f>
        <v>7.3</v>
      </c>
      <c r="AB33" s="12"/>
      <c r="AC33" s="112" t="s">
        <v>533</v>
      </c>
      <c r="AD33" s="12"/>
      <c r="AE33" s="12"/>
      <c r="AF33" s="112" t="s">
        <v>533</v>
      </c>
    </row>
    <row r="34" spans="1:32" ht="55.2" customHeight="1">
      <c r="A34" s="28" t="s">
        <v>39</v>
      </c>
      <c r="B34" s="29" t="s">
        <v>230</v>
      </c>
      <c r="C34" s="101" t="str">
        <f>INDEX(Nomenclature[],MATCH(Actions[[#This Row],[Libellé court Fidji ACT 
(choisir d''abord la famille)]],Nomenclature[Libellé court type d''action],0),2)</f>
        <v>Mettre en place un monitoring des indicateurs de performance de l’installation CVC</v>
      </c>
      <c r="D34" s="28" t="s">
        <v>41</v>
      </c>
      <c r="E34" s="7" t="s">
        <v>430</v>
      </c>
      <c r="F34" s="158"/>
      <c r="G34" s="7"/>
      <c r="H34" s="7"/>
      <c r="I34" s="7" t="str" cm="1">
        <f t="array" ref="I34">INDEX(Nomenclature[],MATCH(Actions[[#This Row],[Libellé court Fidji ACT 
(choisir d''abord la famille)]],Nomenclature[Libellé court type d''action],0),COLUMN(Nomenclature[A suivre avec le mainteneur]))</f>
        <v>Mainteneur</v>
      </c>
      <c r="J34" s="7" t="str" cm="1">
        <f t="array" ref="J34">INDEX(Nomenclature[],MATCH(Actions[[#This Row],[Libellé court Fidji ACT 
(choisir d''abord la famille)]],Nomenclature[Libellé court type d''action],0),COLUMN(Nomenclature[A suivre avec le propriétaire]))</f>
        <v xml:space="preserve"> </v>
      </c>
      <c r="K34" s="7"/>
      <c r="L34" s="112" t="s">
        <v>533</v>
      </c>
      <c r="M34" s="7"/>
      <c r="N34" s="7" t="str" cm="1">
        <f t="array" ref="N34">INDEX(Nomenclature[],MATCH(Actions[[#This Row],[Libellé court Fidji ACT 
(choisir d''abord la famille)]],Nomenclature[Libellé court type d''action],0),COLUMN(Nomenclature[Quick win]))</f>
        <v>Quick win</v>
      </c>
      <c r="O34" s="8"/>
      <c r="P34" s="8"/>
      <c r="Q34" s="8"/>
      <c r="R34" s="8"/>
      <c r="S34" s="8"/>
      <c r="T34" s="8"/>
      <c r="U34" s="8"/>
      <c r="V34" s="112" t="s">
        <v>533</v>
      </c>
      <c r="W34" s="11" t="s">
        <v>430</v>
      </c>
      <c r="X34" s="11"/>
      <c r="Y34" s="7"/>
      <c r="Z34" s="7"/>
      <c r="AA34" s="7" t="str" cm="1">
        <f t="array" ref="AA34">INDEX(Nomenclature[],MATCH(Actions[[#This Row],[Libellé court Fidji ACT 
(choisir d''abord la famille)]],Nomenclature[Libellé court type d''action],0),COLUMN(Nomenclature[Classe d''activité de référence]))</f>
        <v>7.3</v>
      </c>
      <c r="AB34" s="12"/>
      <c r="AC34" s="112" t="s">
        <v>533</v>
      </c>
      <c r="AD34" s="12"/>
      <c r="AE34" s="12"/>
      <c r="AF34" s="112" t="s">
        <v>533</v>
      </c>
    </row>
    <row r="35" spans="1:32" ht="55.2" customHeight="1">
      <c r="A35" s="28" t="s">
        <v>39</v>
      </c>
      <c r="B35" s="29" t="s">
        <v>231</v>
      </c>
      <c r="C35" s="101" t="str">
        <f>INDEX(Nomenclature[],MATCH(Actions[[#This Row],[Libellé court Fidji ACT 
(choisir d''abord la famille)]],Nomenclature[Libellé court type d''action],0),2)</f>
        <v>Rétro-commissionner régulièrement les installations CVC</v>
      </c>
      <c r="D35" s="28" t="s">
        <v>345</v>
      </c>
      <c r="E35" s="7" t="s">
        <v>430</v>
      </c>
      <c r="F35" s="158"/>
      <c r="G35" s="7"/>
      <c r="H35" s="7"/>
      <c r="I35" s="7" t="str" cm="1">
        <f t="array" ref="I35">INDEX(Nomenclature[],MATCH(Actions[[#This Row],[Libellé court Fidji ACT 
(choisir d''abord la famille)]],Nomenclature[Libellé court type d''action],0),COLUMN(Nomenclature[A suivre avec le mainteneur]))</f>
        <v>Mainteneur</v>
      </c>
      <c r="J35" s="7" t="str" cm="1">
        <f t="array" ref="J35">INDEX(Nomenclature[],MATCH(Actions[[#This Row],[Libellé court Fidji ACT 
(choisir d''abord la famille)]],Nomenclature[Libellé court type d''action],0),COLUMN(Nomenclature[A suivre avec le propriétaire]))</f>
        <v xml:space="preserve"> </v>
      </c>
      <c r="K35" s="7"/>
      <c r="L35" s="112" t="s">
        <v>533</v>
      </c>
      <c r="M35" s="7"/>
      <c r="N35" s="7" t="str" cm="1">
        <f t="array" ref="N35">INDEX(Nomenclature[],MATCH(Actions[[#This Row],[Libellé court Fidji ACT 
(choisir d''abord la famille)]],Nomenclature[Libellé court type d''action],0),COLUMN(Nomenclature[Quick win]))</f>
        <v>Quick win</v>
      </c>
      <c r="O35" s="8"/>
      <c r="P35" s="8"/>
      <c r="Q35" s="8"/>
      <c r="R35" s="8"/>
      <c r="S35" s="8"/>
      <c r="T35" s="8"/>
      <c r="U35" s="8"/>
      <c r="V35" s="112" t="s">
        <v>533</v>
      </c>
      <c r="W35" s="11" t="s">
        <v>430</v>
      </c>
      <c r="X35" s="11"/>
      <c r="Y35" s="7"/>
      <c r="Z35" s="7"/>
      <c r="AA35" s="7" t="str" cm="1">
        <f t="array" ref="AA35">INDEX(Nomenclature[],MATCH(Actions[[#This Row],[Libellé court Fidji ACT 
(choisir d''abord la famille)]],Nomenclature[Libellé court type d''action],0),COLUMN(Nomenclature[Classe d''activité de référence]))</f>
        <v>7.3</v>
      </c>
      <c r="AB35" s="12"/>
      <c r="AC35" s="112" t="s">
        <v>533</v>
      </c>
      <c r="AD35" s="12"/>
      <c r="AE35" s="12"/>
      <c r="AF35" s="112" t="s">
        <v>533</v>
      </c>
    </row>
    <row r="36" spans="1:32" ht="55.2" customHeight="1">
      <c r="A36" s="28" t="s">
        <v>39</v>
      </c>
      <c r="B36" s="29" t="s">
        <v>232</v>
      </c>
      <c r="C36" s="101" t="str">
        <f>INDEX(Nomenclature[],MATCH(Actions[[#This Row],[Libellé court Fidji ACT 
(choisir d''abord la famille)]],Nomenclature[Libellé court type d''action],0),2)</f>
        <v>Vérifier régulièrement état des pompes de circulation chauffage &amp; eau glacée</v>
      </c>
      <c r="D36" s="28" t="s">
        <v>42</v>
      </c>
      <c r="E36" s="7" t="s">
        <v>430</v>
      </c>
      <c r="F36" s="158"/>
      <c r="G36" s="7"/>
      <c r="H36" s="7"/>
      <c r="I36" s="7" t="str" cm="1">
        <f t="array" ref="I36">INDEX(Nomenclature[],MATCH(Actions[[#This Row],[Libellé court Fidji ACT 
(choisir d''abord la famille)]],Nomenclature[Libellé court type d''action],0),COLUMN(Nomenclature[A suivre avec le mainteneur]))</f>
        <v>Mainteneur</v>
      </c>
      <c r="J36" s="7" t="str" cm="1">
        <f t="array" ref="J36">INDEX(Nomenclature[],MATCH(Actions[[#This Row],[Libellé court Fidji ACT 
(choisir d''abord la famille)]],Nomenclature[Libellé court type d''action],0),COLUMN(Nomenclature[A suivre avec le propriétaire]))</f>
        <v xml:space="preserve"> </v>
      </c>
      <c r="K36" s="7"/>
      <c r="L36" s="112" t="s">
        <v>533</v>
      </c>
      <c r="M36" s="7"/>
      <c r="N36" s="7" t="str" cm="1">
        <f t="array" ref="N36">INDEX(Nomenclature[],MATCH(Actions[[#This Row],[Libellé court Fidji ACT 
(choisir d''abord la famille)]],Nomenclature[Libellé court type d''action],0),COLUMN(Nomenclature[Quick win]))</f>
        <v>Quick win</v>
      </c>
      <c r="O36" s="8"/>
      <c r="P36" s="8"/>
      <c r="Q36" s="8"/>
      <c r="R36" s="8"/>
      <c r="S36" s="8"/>
      <c r="T36" s="8"/>
      <c r="U36" s="8"/>
      <c r="V36" s="112" t="s">
        <v>533</v>
      </c>
      <c r="W36" s="11" t="s">
        <v>430</v>
      </c>
      <c r="X36" s="11"/>
      <c r="Y36" s="7"/>
      <c r="Z36" s="7"/>
      <c r="AA36" s="7" t="str" cm="1">
        <f t="array" ref="AA36">INDEX(Nomenclature[],MATCH(Actions[[#This Row],[Libellé court Fidji ACT 
(choisir d''abord la famille)]],Nomenclature[Libellé court type d''action],0),COLUMN(Nomenclature[Classe d''activité de référence]))</f>
        <v>7.3</v>
      </c>
      <c r="AB36" s="12"/>
      <c r="AC36" s="112" t="s">
        <v>533</v>
      </c>
      <c r="AD36" s="12"/>
      <c r="AE36" s="12"/>
      <c r="AF36" s="112" t="s">
        <v>533</v>
      </c>
    </row>
    <row r="37" spans="1:32" ht="55.2" customHeight="1">
      <c r="A37" s="28" t="s">
        <v>39</v>
      </c>
      <c r="B37" s="29" t="s">
        <v>233</v>
      </c>
      <c r="C37" s="101" t="str">
        <f>INDEX(Nomenclature[],MATCH(Actions[[#This Row],[Libellé court Fidji ACT 
(choisir d''abord la famille)]],Nomenclature[Libellé court type d''action],0),2)</f>
        <v>Contrôler régulièrement l’eau des réseaux hydrauliques et traiter au besoin</v>
      </c>
      <c r="D37" s="28" t="str">
        <f>INDEX(Nomenclature[],MATCH(Actions[[#This Row],[Libellé court Fidji ACT 
(choisir d''abord la famille)]],Nomenclature[Libellé court type d''action],0),2)</f>
        <v>Contrôler régulièrement l’eau des réseaux hydrauliques et traiter au besoin</v>
      </c>
      <c r="E37" s="7" t="s">
        <v>430</v>
      </c>
      <c r="F37" s="158"/>
      <c r="G37" s="7"/>
      <c r="H37" s="7"/>
      <c r="I37" s="7" t="str" cm="1">
        <f t="array" ref="I37">INDEX(Nomenclature[],MATCH(Actions[[#This Row],[Libellé court Fidji ACT 
(choisir d''abord la famille)]],Nomenclature[Libellé court type d''action],0),COLUMN(Nomenclature[A suivre avec le mainteneur]))</f>
        <v>Mainteneur</v>
      </c>
      <c r="J37" s="7" t="str" cm="1">
        <f t="array" ref="J37">INDEX(Nomenclature[],MATCH(Actions[[#This Row],[Libellé court Fidji ACT 
(choisir d''abord la famille)]],Nomenclature[Libellé court type d''action],0),COLUMN(Nomenclature[A suivre avec le propriétaire]))</f>
        <v xml:space="preserve"> </v>
      </c>
      <c r="K37" s="7"/>
      <c r="L37" s="112" t="s">
        <v>533</v>
      </c>
      <c r="M37" s="7"/>
      <c r="N37" s="7" t="str" cm="1">
        <f t="array" ref="N37">INDEX(Nomenclature[],MATCH(Actions[[#This Row],[Libellé court Fidji ACT 
(choisir d''abord la famille)]],Nomenclature[Libellé court type d''action],0),COLUMN(Nomenclature[Quick win]))</f>
        <v>Quick win</v>
      </c>
      <c r="O37" s="8"/>
      <c r="P37" s="8"/>
      <c r="Q37" s="8"/>
      <c r="R37" s="8"/>
      <c r="S37" s="8"/>
      <c r="T37" s="8"/>
      <c r="U37" s="8"/>
      <c r="V37" s="112" t="s">
        <v>533</v>
      </c>
      <c r="W37" s="11" t="s">
        <v>430</v>
      </c>
      <c r="X37" s="11"/>
      <c r="Y37" s="7"/>
      <c r="Z37" s="7"/>
      <c r="AA37" s="7" t="str" cm="1">
        <f t="array" ref="AA37">INDEX(Nomenclature[],MATCH(Actions[[#This Row],[Libellé court Fidji ACT 
(choisir d''abord la famille)]],Nomenclature[Libellé court type d''action],0),COLUMN(Nomenclature[Classe d''activité de référence]))</f>
        <v>7.3</v>
      </c>
      <c r="AB37" s="12"/>
      <c r="AC37" s="112" t="s">
        <v>533</v>
      </c>
      <c r="AD37" s="12"/>
      <c r="AE37" s="12"/>
      <c r="AF37" s="112" t="s">
        <v>533</v>
      </c>
    </row>
    <row r="38" spans="1:32" ht="55.2" customHeight="1">
      <c r="A38" s="28" t="s">
        <v>39</v>
      </c>
      <c r="B38" s="29" t="s">
        <v>234</v>
      </c>
      <c r="C38" s="101" t="str">
        <f>INDEX(Nomenclature[],MATCH(Actions[[#This Row],[Libellé court Fidji ACT 
(choisir d''abord la famille)]],Nomenclature[Libellé court type d''action],0),2)</f>
        <v>Désembouer réseau hydraulique / installer filtres anti-boues</v>
      </c>
      <c r="D38" s="28" t="s">
        <v>44</v>
      </c>
      <c r="E38" s="7" t="s">
        <v>430</v>
      </c>
      <c r="F38" s="158"/>
      <c r="G38" s="7"/>
      <c r="H38" s="7"/>
      <c r="I38" s="7" t="str" cm="1">
        <f t="array" ref="I38">INDEX(Nomenclature[],MATCH(Actions[[#This Row],[Libellé court Fidji ACT 
(choisir d''abord la famille)]],Nomenclature[Libellé court type d''action],0),COLUMN(Nomenclature[A suivre avec le mainteneur]))</f>
        <v>Mainteneur</v>
      </c>
      <c r="J38" s="7" t="str" cm="1">
        <f t="array" ref="J38">INDEX(Nomenclature[],MATCH(Actions[[#This Row],[Libellé court Fidji ACT 
(choisir d''abord la famille)]],Nomenclature[Libellé court type d''action],0),COLUMN(Nomenclature[A suivre avec le propriétaire]))</f>
        <v xml:space="preserve"> </v>
      </c>
      <c r="K38" s="7"/>
      <c r="L38" s="112" t="s">
        <v>533</v>
      </c>
      <c r="M38" s="7"/>
      <c r="N38" s="7" t="str" cm="1">
        <f t="array" ref="N38">INDEX(Nomenclature[],MATCH(Actions[[#This Row],[Libellé court Fidji ACT 
(choisir d''abord la famille)]],Nomenclature[Libellé court type d''action],0),COLUMN(Nomenclature[Quick win]))</f>
        <v>Quick win</v>
      </c>
      <c r="O38" s="8"/>
      <c r="P38" s="8"/>
      <c r="Q38" s="8"/>
      <c r="R38" s="8"/>
      <c r="S38" s="8"/>
      <c r="T38" s="8"/>
      <c r="U38" s="8"/>
      <c r="V38" s="112" t="s">
        <v>533</v>
      </c>
      <c r="W38" s="11" t="s">
        <v>430</v>
      </c>
      <c r="X38" s="11"/>
      <c r="Y38" s="7"/>
      <c r="Z38" s="7"/>
      <c r="AA38" s="7" t="str" cm="1">
        <f t="array" ref="AA38">INDEX(Nomenclature[],MATCH(Actions[[#This Row],[Libellé court Fidji ACT 
(choisir d''abord la famille)]],Nomenclature[Libellé court type d''action],0),COLUMN(Nomenclature[Classe d''activité de référence]))</f>
        <v>7.3</v>
      </c>
      <c r="AB38" s="12"/>
      <c r="AC38" s="112" t="s">
        <v>533</v>
      </c>
      <c r="AD38" s="12"/>
      <c r="AE38" s="12"/>
      <c r="AF38" s="112" t="s">
        <v>533</v>
      </c>
    </row>
    <row r="39" spans="1:32" ht="55.2" customHeight="1">
      <c r="A39" s="28" t="s">
        <v>39</v>
      </c>
      <c r="B39" s="29" t="s">
        <v>235</v>
      </c>
      <c r="C39" s="101" t="str">
        <f>INDEX(Nomenclature[],MATCH(Actions[[#This Row],[Libellé court Fidji ACT 
(choisir d''abord la famille)]],Nomenclature[Libellé court type d''action],0),2)</f>
        <v>Installer / remplacer des filtres à air performants, adaptés au besoin</v>
      </c>
      <c r="D39" s="28" t="s">
        <v>45</v>
      </c>
      <c r="E39" s="7" t="s">
        <v>430</v>
      </c>
      <c r="F39" s="158"/>
      <c r="G39" s="7"/>
      <c r="H39" s="7"/>
      <c r="I39" s="7" t="str" cm="1">
        <f t="array" ref="I39">INDEX(Nomenclature[],MATCH(Actions[[#This Row],[Libellé court Fidji ACT 
(choisir d''abord la famille)]],Nomenclature[Libellé court type d''action],0),COLUMN(Nomenclature[A suivre avec le mainteneur]))</f>
        <v>Mainteneur</v>
      </c>
      <c r="J39" s="7" t="str" cm="1">
        <f t="array" ref="J39">INDEX(Nomenclature[],MATCH(Actions[[#This Row],[Libellé court Fidji ACT 
(choisir d''abord la famille)]],Nomenclature[Libellé court type d''action],0),COLUMN(Nomenclature[A suivre avec le propriétaire]))</f>
        <v xml:space="preserve"> </v>
      </c>
      <c r="K39" s="7"/>
      <c r="L39" s="112" t="s">
        <v>533</v>
      </c>
      <c r="M39" s="7"/>
      <c r="N39" s="7" t="str" cm="1">
        <f t="array" ref="N39">INDEX(Nomenclature[],MATCH(Actions[[#This Row],[Libellé court Fidji ACT 
(choisir d''abord la famille)]],Nomenclature[Libellé court type d''action],0),COLUMN(Nomenclature[Quick win]))</f>
        <v>Quick win</v>
      </c>
      <c r="O39" s="8"/>
      <c r="P39" s="8"/>
      <c r="Q39" s="8"/>
      <c r="R39" s="8"/>
      <c r="S39" s="8"/>
      <c r="T39" s="8"/>
      <c r="U39" s="8"/>
      <c r="V39" s="112" t="s">
        <v>533</v>
      </c>
      <c r="W39" s="11" t="s">
        <v>430</v>
      </c>
      <c r="X39" s="11"/>
      <c r="Y39" s="7"/>
      <c r="Z39" s="7"/>
      <c r="AA39" s="7" t="str" cm="1">
        <f t="array" ref="AA39">INDEX(Nomenclature[],MATCH(Actions[[#This Row],[Libellé court Fidji ACT 
(choisir d''abord la famille)]],Nomenclature[Libellé court type d''action],0),COLUMN(Nomenclature[Classe d''activité de référence]))</f>
        <v>-</v>
      </c>
      <c r="AB39" s="12"/>
      <c r="AC39" s="112" t="s">
        <v>533</v>
      </c>
      <c r="AD39" s="12"/>
      <c r="AE39" s="12"/>
      <c r="AF39" s="112" t="s">
        <v>533</v>
      </c>
    </row>
    <row r="40" spans="1:32" ht="55.2" customHeight="1">
      <c r="A40" s="28" t="s">
        <v>341</v>
      </c>
      <c r="B40" s="29" t="s">
        <v>237</v>
      </c>
      <c r="C40" s="101" t="str">
        <f>INDEX(Nomenclature[],MATCH(Actions[[#This Row],[Libellé court Fidji ACT 
(choisir d''abord la famille)]],Nomenclature[Libellé court type d''action],0),2)</f>
        <v>Remplacer équipement énergivore et/ou en fin de vie en adaptant la puissance installée</v>
      </c>
      <c r="D40" s="28" t="s">
        <v>47</v>
      </c>
      <c r="E40" s="7" t="s">
        <v>430</v>
      </c>
      <c r="F40" s="158"/>
      <c r="G40" s="7"/>
      <c r="H40" s="7"/>
      <c r="I40" s="7" t="str" cm="1">
        <f t="array" ref="I40">INDEX(Nomenclature[],MATCH(Actions[[#This Row],[Libellé court Fidji ACT 
(choisir d''abord la famille)]],Nomenclature[Libellé court type d''action],0),COLUMN(Nomenclature[A suivre avec le mainteneur]))</f>
        <v>Mainteneur</v>
      </c>
      <c r="J40" s="7" t="str" cm="1">
        <f t="array" ref="J40">INDEX(Nomenclature[],MATCH(Actions[[#This Row],[Libellé court Fidji ACT 
(choisir d''abord la famille)]],Nomenclature[Libellé court type d''action],0),COLUMN(Nomenclature[A suivre avec le propriétaire]))</f>
        <v xml:space="preserve"> </v>
      </c>
      <c r="K40" s="7"/>
      <c r="L40" s="112" t="s">
        <v>533</v>
      </c>
      <c r="M40" s="7"/>
      <c r="N40" s="7" t="str" cm="1">
        <f t="array" ref="N40">INDEX(Nomenclature[],MATCH(Actions[[#This Row],[Libellé court Fidji ACT 
(choisir d''abord la famille)]],Nomenclature[Libellé court type d''action],0),COLUMN(Nomenclature[Quick win]))</f>
        <v>Rénovation légère</v>
      </c>
      <c r="O40" s="8"/>
      <c r="P40" s="8"/>
      <c r="Q40" s="8"/>
      <c r="R40" s="8"/>
      <c r="S40" s="8"/>
      <c r="T40" s="8"/>
      <c r="U40" s="8"/>
      <c r="V40" s="112" t="s">
        <v>533</v>
      </c>
      <c r="W40" s="11" t="s">
        <v>430</v>
      </c>
      <c r="X40" s="11"/>
      <c r="Y40" s="7"/>
      <c r="Z40" s="7"/>
      <c r="AA40" s="7" t="str" cm="1">
        <f t="array" ref="AA40">INDEX(Nomenclature[],MATCH(Actions[[#This Row],[Libellé court Fidji ACT 
(choisir d''abord la famille)]],Nomenclature[Libellé court type d''action],0),COLUMN(Nomenclature[Classe d''activité de référence]))</f>
        <v>7.3</v>
      </c>
      <c r="AB40" s="12"/>
      <c r="AC40" s="112" t="s">
        <v>533</v>
      </c>
      <c r="AD40" s="12"/>
      <c r="AE40" s="12"/>
      <c r="AF40" s="112" t="s">
        <v>533</v>
      </c>
    </row>
    <row r="41" spans="1:32" ht="55.2" customHeight="1">
      <c r="A41" s="28" t="s">
        <v>341</v>
      </c>
      <c r="B41" s="29" t="s">
        <v>238</v>
      </c>
      <c r="C41" s="101" t="str">
        <f>INDEX(Nomenclature[],MATCH(Actions[[#This Row],[Libellé court Fidji ACT 
(choisir d''abord la famille)]],Nomenclature[Libellé court type d''action],0),2)</f>
        <v>Installer nouvel équipement performant du point de vue énergétique &amp; environnemental</v>
      </c>
      <c r="D41" s="28" t="s">
        <v>48</v>
      </c>
      <c r="E41" s="7" t="s">
        <v>430</v>
      </c>
      <c r="F41" s="158"/>
      <c r="G41" s="7"/>
      <c r="H41" s="7"/>
      <c r="I41" s="7" t="str" cm="1">
        <f t="array" ref="I41">INDEX(Nomenclature[],MATCH(Actions[[#This Row],[Libellé court Fidji ACT 
(choisir d''abord la famille)]],Nomenclature[Libellé court type d''action],0),COLUMN(Nomenclature[A suivre avec le mainteneur]))</f>
        <v>Mainteneur</v>
      </c>
      <c r="J41" s="7" t="str" cm="1">
        <f t="array" ref="J41">INDEX(Nomenclature[],MATCH(Actions[[#This Row],[Libellé court Fidji ACT 
(choisir d''abord la famille)]],Nomenclature[Libellé court type d''action],0),COLUMN(Nomenclature[A suivre avec le propriétaire]))</f>
        <v xml:space="preserve"> </v>
      </c>
      <c r="K41" s="7"/>
      <c r="L41" s="112" t="s">
        <v>533</v>
      </c>
      <c r="M41" s="7"/>
      <c r="N41" s="7" t="str" cm="1">
        <f t="array" ref="N41">INDEX(Nomenclature[],MATCH(Actions[[#This Row],[Libellé court Fidji ACT 
(choisir d''abord la famille)]],Nomenclature[Libellé court type d''action],0),COLUMN(Nomenclature[Quick win]))</f>
        <v>Rénovation légère</v>
      </c>
      <c r="O41" s="8"/>
      <c r="P41" s="8"/>
      <c r="Q41" s="8"/>
      <c r="R41" s="8"/>
      <c r="S41" s="8"/>
      <c r="T41" s="8"/>
      <c r="U41" s="8"/>
      <c r="V41" s="112" t="s">
        <v>533</v>
      </c>
      <c r="W41" s="11" t="s">
        <v>430</v>
      </c>
      <c r="X41" s="11"/>
      <c r="Y41" s="7"/>
      <c r="Z41" s="7"/>
      <c r="AA41" s="7" t="str" cm="1">
        <f t="array" ref="AA41">INDEX(Nomenclature[],MATCH(Actions[[#This Row],[Libellé court Fidji ACT 
(choisir d''abord la famille)]],Nomenclature[Libellé court type d''action],0),COLUMN(Nomenclature[Classe d''activité de référence]))</f>
        <v>7.3</v>
      </c>
      <c r="AB41" s="12"/>
      <c r="AC41" s="112" t="s">
        <v>533</v>
      </c>
      <c r="AD41" s="12"/>
      <c r="AE41" s="12"/>
      <c r="AF41" s="112" t="s">
        <v>533</v>
      </c>
    </row>
    <row r="42" spans="1:32" ht="55.2" customHeight="1">
      <c r="A42" s="28" t="s">
        <v>341</v>
      </c>
      <c r="B42" s="29" t="s">
        <v>239</v>
      </c>
      <c r="C42" s="101" t="str">
        <f>INDEX(Nomenclature[],MATCH(Actions[[#This Row],[Libellé court Fidji ACT 
(choisir d''abord la famille)]],Nomenclature[Libellé court type d''action],0),2)</f>
        <v>Isoler canalisations de chauffage / eau glacée</v>
      </c>
      <c r="D42" s="28" t="s">
        <v>49</v>
      </c>
      <c r="E42" s="7" t="s">
        <v>430</v>
      </c>
      <c r="F42" s="158"/>
      <c r="G42" s="7"/>
      <c r="H42" s="7"/>
      <c r="I42" s="7" t="str" cm="1">
        <f t="array" ref="I42">INDEX(Nomenclature[],MATCH(Actions[[#This Row],[Libellé court Fidji ACT 
(choisir d''abord la famille)]],Nomenclature[Libellé court type d''action],0),COLUMN(Nomenclature[A suivre avec le mainteneur]))</f>
        <v>Mainteneur</v>
      </c>
      <c r="J42" s="7" t="str" cm="1">
        <f t="array" ref="J42">INDEX(Nomenclature[],MATCH(Actions[[#This Row],[Libellé court Fidji ACT 
(choisir d''abord la famille)]],Nomenclature[Libellé court type d''action],0),COLUMN(Nomenclature[A suivre avec le propriétaire]))</f>
        <v xml:space="preserve"> </v>
      </c>
      <c r="K42" s="7"/>
      <c r="L42" s="112" t="s">
        <v>533</v>
      </c>
      <c r="M42" s="7"/>
      <c r="N42" s="7" t="str" cm="1">
        <f t="array" ref="N42">INDEX(Nomenclature[],MATCH(Actions[[#This Row],[Libellé court Fidji ACT 
(choisir d''abord la famille)]],Nomenclature[Libellé court type d''action],0),COLUMN(Nomenclature[Quick win]))</f>
        <v>Rénovation légère</v>
      </c>
      <c r="O42" s="8"/>
      <c r="P42" s="8"/>
      <c r="Q42" s="8"/>
      <c r="R42" s="8"/>
      <c r="S42" s="8"/>
      <c r="T42" s="8"/>
      <c r="U42" s="8"/>
      <c r="V42" s="112" t="s">
        <v>533</v>
      </c>
      <c r="W42" s="11" t="s">
        <v>430</v>
      </c>
      <c r="X42" s="11"/>
      <c r="Y42" s="7"/>
      <c r="Z42" s="7"/>
      <c r="AA42" s="7" t="str" cm="1">
        <f t="array" ref="AA42">INDEX(Nomenclature[],MATCH(Actions[[#This Row],[Libellé court Fidji ACT 
(choisir d''abord la famille)]],Nomenclature[Libellé court type d''action],0),COLUMN(Nomenclature[Classe d''activité de référence]))</f>
        <v>7.3</v>
      </c>
      <c r="AB42" s="12"/>
      <c r="AC42" s="112" t="s">
        <v>533</v>
      </c>
      <c r="AD42" s="12"/>
      <c r="AE42" s="12"/>
      <c r="AF42" s="112" t="s">
        <v>533</v>
      </c>
    </row>
    <row r="43" spans="1:32" ht="55.2" customHeight="1">
      <c r="A43" s="28" t="s">
        <v>341</v>
      </c>
      <c r="B43" s="29" t="s">
        <v>347</v>
      </c>
      <c r="C43" s="101" t="str">
        <f>INDEX(Nomenclature[],MATCH(Actions[[#This Row],[Libellé court Fidji ACT 
(choisir d''abord la famille)]],Nomenclature[Libellé court type d''action],0),2)</f>
        <v>Installer régulateur de cascade sur une installation comprenant plusieurs chaudières</v>
      </c>
      <c r="D43" s="28" t="s">
        <v>50</v>
      </c>
      <c r="E43" s="7" t="s">
        <v>430</v>
      </c>
      <c r="F43" s="158"/>
      <c r="G43" s="7"/>
      <c r="H43" s="7"/>
      <c r="I43" s="7" t="str" cm="1">
        <f t="array" ref="I43">INDEX(Nomenclature[],MATCH(Actions[[#This Row],[Libellé court Fidji ACT 
(choisir d''abord la famille)]],Nomenclature[Libellé court type d''action],0),COLUMN(Nomenclature[A suivre avec le mainteneur]))</f>
        <v>Mainteneur</v>
      </c>
      <c r="J43" s="7" t="str" cm="1">
        <f t="array" ref="J43">INDEX(Nomenclature[],MATCH(Actions[[#This Row],[Libellé court Fidji ACT 
(choisir d''abord la famille)]],Nomenclature[Libellé court type d''action],0),COLUMN(Nomenclature[A suivre avec le propriétaire]))</f>
        <v xml:space="preserve"> </v>
      </c>
      <c r="K43" s="7"/>
      <c r="L43" s="112" t="s">
        <v>533</v>
      </c>
      <c r="M43" s="7"/>
      <c r="N43" s="7" t="str" cm="1">
        <f t="array" ref="N43">INDEX(Nomenclature[],MATCH(Actions[[#This Row],[Libellé court Fidji ACT 
(choisir d''abord la famille)]],Nomenclature[Libellé court type d''action],0),COLUMN(Nomenclature[Quick win]))</f>
        <v>Rénovation légère</v>
      </c>
      <c r="O43" s="8"/>
      <c r="P43" s="8"/>
      <c r="Q43" s="8"/>
      <c r="R43" s="8"/>
      <c r="S43" s="8"/>
      <c r="T43" s="8"/>
      <c r="U43" s="8"/>
      <c r="V43" s="112" t="s">
        <v>533</v>
      </c>
      <c r="W43" s="11" t="s">
        <v>430</v>
      </c>
      <c r="X43" s="11"/>
      <c r="Y43" s="7"/>
      <c r="Z43" s="7"/>
      <c r="AA43" s="7" t="str" cm="1">
        <f t="array" ref="AA43">INDEX(Nomenclature[],MATCH(Actions[[#This Row],[Libellé court Fidji ACT 
(choisir d''abord la famille)]],Nomenclature[Libellé court type d''action],0),COLUMN(Nomenclature[Classe d''activité de référence]))</f>
        <v>7.3</v>
      </c>
      <c r="AB43" s="12"/>
      <c r="AC43" s="112" t="s">
        <v>533</v>
      </c>
      <c r="AD43" s="12"/>
      <c r="AE43" s="12"/>
      <c r="AF43" s="112" t="s">
        <v>533</v>
      </c>
    </row>
    <row r="44" spans="1:32" ht="55.2" customHeight="1">
      <c r="A44" s="28" t="s">
        <v>341</v>
      </c>
      <c r="B44" s="29" t="s">
        <v>240</v>
      </c>
      <c r="C44" s="101" t="str">
        <f>INDEX(Nomenclature[],MATCH(Actions[[#This Row],[Libellé court Fidji ACT 
(choisir d''abord la famille)]],Nomenclature[Libellé court type d''action],0),2)</f>
        <v>Installer modules d'équilibrage automatique du réseau</v>
      </c>
      <c r="D44" s="28" t="s">
        <v>51</v>
      </c>
      <c r="E44" s="7" t="s">
        <v>430</v>
      </c>
      <c r="F44" s="158"/>
      <c r="G44" s="7"/>
      <c r="H44" s="7"/>
      <c r="I44" s="7" t="str" cm="1">
        <f t="array" ref="I44">INDEX(Nomenclature[],MATCH(Actions[[#This Row],[Libellé court Fidji ACT 
(choisir d''abord la famille)]],Nomenclature[Libellé court type d''action],0),COLUMN(Nomenclature[A suivre avec le mainteneur]))</f>
        <v>Mainteneur</v>
      </c>
      <c r="J44" s="7" t="str" cm="1">
        <f t="array" ref="J44">INDEX(Nomenclature[],MATCH(Actions[[#This Row],[Libellé court Fidji ACT 
(choisir d''abord la famille)]],Nomenclature[Libellé court type d''action],0),COLUMN(Nomenclature[A suivre avec le propriétaire]))</f>
        <v xml:space="preserve"> </v>
      </c>
      <c r="K44" s="7"/>
      <c r="L44" s="112" t="s">
        <v>533</v>
      </c>
      <c r="M44" s="7"/>
      <c r="N44" s="7" t="str" cm="1">
        <f t="array" ref="N44">INDEX(Nomenclature[],MATCH(Actions[[#This Row],[Libellé court Fidji ACT 
(choisir d''abord la famille)]],Nomenclature[Libellé court type d''action],0),COLUMN(Nomenclature[Quick win]))</f>
        <v>Rénovation légère</v>
      </c>
      <c r="O44" s="8"/>
      <c r="P44" s="8"/>
      <c r="Q44" s="8"/>
      <c r="R44" s="8"/>
      <c r="S44" s="8"/>
      <c r="T44" s="8"/>
      <c r="U44" s="8"/>
      <c r="V44" s="112" t="s">
        <v>533</v>
      </c>
      <c r="W44" s="11" t="s">
        <v>430</v>
      </c>
      <c r="X44" s="11"/>
      <c r="Y44" s="7"/>
      <c r="Z44" s="7"/>
      <c r="AA44" s="7" t="str" cm="1">
        <f t="array" ref="AA44">INDEX(Nomenclature[],MATCH(Actions[[#This Row],[Libellé court Fidji ACT 
(choisir d''abord la famille)]],Nomenclature[Libellé court type d''action],0),COLUMN(Nomenclature[Classe d''activité de référence]))</f>
        <v>7.3</v>
      </c>
      <c r="AB44" s="12"/>
      <c r="AC44" s="112" t="s">
        <v>533</v>
      </c>
      <c r="AD44" s="12"/>
      <c r="AE44" s="12"/>
      <c r="AF44" s="112" t="s">
        <v>533</v>
      </c>
    </row>
    <row r="45" spans="1:32" ht="55.2" customHeight="1">
      <c r="A45" s="28" t="s">
        <v>341</v>
      </c>
      <c r="B45" s="29" t="s">
        <v>241</v>
      </c>
      <c r="C45" s="101" t="str">
        <f>INDEX(Nomenclature[],MATCH(Actions[[#This Row],[Libellé court Fidji ACT 
(choisir d''abord la famille)]],Nomenclature[Libellé court type d''action],0),2)</f>
        <v>Installer VMC double flux</v>
      </c>
      <c r="D45" s="28" t="s">
        <v>52</v>
      </c>
      <c r="E45" s="7" t="s">
        <v>430</v>
      </c>
      <c r="F45" s="158"/>
      <c r="G45" s="7"/>
      <c r="H45" s="7"/>
      <c r="I45" s="7" t="str" cm="1">
        <f t="array" ref="I45">INDEX(Nomenclature[],MATCH(Actions[[#This Row],[Libellé court Fidji ACT 
(choisir d''abord la famille)]],Nomenclature[Libellé court type d''action],0),COLUMN(Nomenclature[A suivre avec le mainteneur]))</f>
        <v>Mainteneur</v>
      </c>
      <c r="J45" s="7" t="str" cm="1">
        <f t="array" ref="J45">INDEX(Nomenclature[],MATCH(Actions[[#This Row],[Libellé court Fidji ACT 
(choisir d''abord la famille)]],Nomenclature[Libellé court type d''action],0),COLUMN(Nomenclature[A suivre avec le propriétaire]))</f>
        <v xml:space="preserve"> </v>
      </c>
      <c r="K45" s="7"/>
      <c r="L45" s="112" t="s">
        <v>533</v>
      </c>
      <c r="M45" s="7"/>
      <c r="N45" s="7" t="str" cm="1">
        <f t="array" ref="N45">INDEX(Nomenclature[],MATCH(Actions[[#This Row],[Libellé court Fidji ACT 
(choisir d''abord la famille)]],Nomenclature[Libellé court type d''action],0),COLUMN(Nomenclature[Quick win]))</f>
        <v>Rénovation légère</v>
      </c>
      <c r="O45" s="8"/>
      <c r="P45" s="8"/>
      <c r="Q45" s="8"/>
      <c r="R45" s="8"/>
      <c r="S45" s="8"/>
      <c r="T45" s="8"/>
      <c r="U45" s="8"/>
      <c r="V45" s="112" t="s">
        <v>533</v>
      </c>
      <c r="W45" s="11" t="s">
        <v>430</v>
      </c>
      <c r="X45" s="11"/>
      <c r="Y45" s="7"/>
      <c r="Z45" s="7"/>
      <c r="AA45" s="7" t="str" cm="1">
        <f t="array" ref="AA45">INDEX(Nomenclature[],MATCH(Actions[[#This Row],[Libellé court Fidji ACT 
(choisir d''abord la famille)]],Nomenclature[Libellé court type d''action],0),COLUMN(Nomenclature[Classe d''activité de référence]))</f>
        <v>7.3</v>
      </c>
      <c r="AB45" s="12"/>
      <c r="AC45" s="112" t="s">
        <v>533</v>
      </c>
      <c r="AD45" s="12"/>
      <c r="AE45" s="12"/>
      <c r="AF45" s="112" t="s">
        <v>533</v>
      </c>
    </row>
    <row r="46" spans="1:32" ht="55.2" customHeight="1">
      <c r="A46" s="28" t="s">
        <v>341</v>
      </c>
      <c r="B46" s="29" t="s">
        <v>242</v>
      </c>
      <c r="C46" s="101" t="str">
        <f>INDEX(Nomenclature[],MATCH(Actions[[#This Row],[Libellé court Fidji ACT 
(choisir d''abord la famille)]],Nomenclature[Libellé court type d''action],0),2)</f>
        <v>Installer des sondes CO2 pour moduler le débit de la ventilation en f° de l’occupation</v>
      </c>
      <c r="D46" s="28" t="s">
        <v>53</v>
      </c>
      <c r="E46" s="7" t="s">
        <v>430</v>
      </c>
      <c r="F46" s="158"/>
      <c r="G46" s="7"/>
      <c r="H46" s="7"/>
      <c r="I46" s="7" t="str" cm="1">
        <f t="array" ref="I46">INDEX(Nomenclature[],MATCH(Actions[[#This Row],[Libellé court Fidji ACT 
(choisir d''abord la famille)]],Nomenclature[Libellé court type d''action],0),COLUMN(Nomenclature[A suivre avec le mainteneur]))</f>
        <v>Mainteneur</v>
      </c>
      <c r="J46" s="7" t="str" cm="1">
        <f t="array" ref="J46">INDEX(Nomenclature[],MATCH(Actions[[#This Row],[Libellé court Fidji ACT 
(choisir d''abord la famille)]],Nomenclature[Libellé court type d''action],0),COLUMN(Nomenclature[A suivre avec le propriétaire]))</f>
        <v xml:space="preserve"> </v>
      </c>
      <c r="K46" s="7"/>
      <c r="L46" s="112" t="s">
        <v>533</v>
      </c>
      <c r="M46" s="7"/>
      <c r="N46" s="7" t="str" cm="1">
        <f t="array" ref="N46">INDEX(Nomenclature[],MATCH(Actions[[#This Row],[Libellé court Fidji ACT 
(choisir d''abord la famille)]],Nomenclature[Libellé court type d''action],0),COLUMN(Nomenclature[Quick win]))</f>
        <v>Rénovation légère</v>
      </c>
      <c r="O46" s="8"/>
      <c r="P46" s="8"/>
      <c r="Q46" s="8"/>
      <c r="R46" s="8"/>
      <c r="S46" s="8"/>
      <c r="T46" s="8"/>
      <c r="U46" s="8"/>
      <c r="V46" s="112" t="s">
        <v>533</v>
      </c>
      <c r="W46" s="11" t="s">
        <v>430</v>
      </c>
      <c r="X46" s="11"/>
      <c r="Y46" s="7"/>
      <c r="Z46" s="7"/>
      <c r="AA46" s="7" t="str" cm="1">
        <f t="array" ref="AA46">INDEX(Nomenclature[],MATCH(Actions[[#This Row],[Libellé court Fidji ACT 
(choisir d''abord la famille)]],Nomenclature[Libellé court type d''action],0),COLUMN(Nomenclature[Classe d''activité de référence]))</f>
        <v>7.3</v>
      </c>
      <c r="AB46" s="12"/>
      <c r="AC46" s="112" t="s">
        <v>533</v>
      </c>
      <c r="AD46" s="12"/>
      <c r="AE46" s="12"/>
      <c r="AF46" s="112" t="s">
        <v>533</v>
      </c>
    </row>
    <row r="47" spans="1:32" ht="55.2" customHeight="1">
      <c r="A47" s="28" t="s">
        <v>341</v>
      </c>
      <c r="B47" s="29" t="s">
        <v>348</v>
      </c>
      <c r="C47" s="101" t="str">
        <f>INDEX(Nomenclature[],MATCH(Actions[[#This Row],[Libellé court Fidji ACT 
(choisir d''abord la famille)]],Nomenclature[Libellé court type d''action],0),2)</f>
        <v>Mettre en place une récupération de chaleur issue de l’air extrait ou d’un process </v>
      </c>
      <c r="D47" s="28" t="s">
        <v>54</v>
      </c>
      <c r="E47" s="7" t="s">
        <v>430</v>
      </c>
      <c r="F47" s="158"/>
      <c r="G47" s="7"/>
      <c r="H47" s="7"/>
      <c r="I47" s="7" t="str" cm="1">
        <f t="array" ref="I47">INDEX(Nomenclature[],MATCH(Actions[[#This Row],[Libellé court Fidji ACT 
(choisir d''abord la famille)]],Nomenclature[Libellé court type d''action],0),COLUMN(Nomenclature[A suivre avec le mainteneur]))</f>
        <v>Mainteneur</v>
      </c>
      <c r="J47" s="7" t="str" cm="1">
        <f t="array" ref="J47">INDEX(Nomenclature[],MATCH(Actions[[#This Row],[Libellé court Fidji ACT 
(choisir d''abord la famille)]],Nomenclature[Libellé court type d''action],0),COLUMN(Nomenclature[A suivre avec le propriétaire]))</f>
        <v xml:space="preserve"> </v>
      </c>
      <c r="K47" s="7"/>
      <c r="L47" s="112" t="s">
        <v>533</v>
      </c>
      <c r="M47" s="7"/>
      <c r="N47" s="7" t="str" cm="1">
        <f t="array" ref="N47">INDEX(Nomenclature[],MATCH(Actions[[#This Row],[Libellé court Fidji ACT 
(choisir d''abord la famille)]],Nomenclature[Libellé court type d''action],0),COLUMN(Nomenclature[Quick win]))</f>
        <v>Rénovation légère</v>
      </c>
      <c r="O47" s="8"/>
      <c r="P47" s="8"/>
      <c r="Q47" s="8"/>
      <c r="R47" s="8"/>
      <c r="S47" s="8"/>
      <c r="T47" s="8"/>
      <c r="U47" s="8"/>
      <c r="V47" s="112" t="s">
        <v>533</v>
      </c>
      <c r="W47" s="11" t="s">
        <v>430</v>
      </c>
      <c r="X47" s="11"/>
      <c r="Y47" s="7"/>
      <c r="Z47" s="7"/>
      <c r="AA47" s="7" t="str" cm="1">
        <f t="array" ref="AA47">INDEX(Nomenclature[],MATCH(Actions[[#This Row],[Libellé court Fidji ACT 
(choisir d''abord la famille)]],Nomenclature[Libellé court type d''action],0),COLUMN(Nomenclature[Classe d''activité de référence]))</f>
        <v>7.3</v>
      </c>
      <c r="AB47" s="12"/>
      <c r="AC47" s="112" t="s">
        <v>533</v>
      </c>
      <c r="AD47" s="12"/>
      <c r="AE47" s="12"/>
      <c r="AF47" s="112" t="s">
        <v>533</v>
      </c>
    </row>
    <row r="48" spans="1:32" ht="55.2" customHeight="1">
      <c r="A48" s="28" t="s">
        <v>341</v>
      </c>
      <c r="B48" s="29" t="s">
        <v>349</v>
      </c>
      <c r="C48" s="101" t="str">
        <f>INDEX(Nomenclature[],MATCH(Actions[[#This Row],[Libellé court Fidji ACT 
(choisir d''abord la famille)]],Nomenclature[Libellé court type d''action],0),2)</f>
        <v>Installer déstratificateur dans locaux chauffés avec grande hauteur sous plafond</v>
      </c>
      <c r="D48" s="28" t="s">
        <v>55</v>
      </c>
      <c r="E48" s="7" t="s">
        <v>430</v>
      </c>
      <c r="F48" s="158"/>
      <c r="G48" s="7"/>
      <c r="H48" s="7"/>
      <c r="I48" s="7" t="str" cm="1">
        <f t="array" ref="I48">INDEX(Nomenclature[],MATCH(Actions[[#This Row],[Libellé court Fidji ACT 
(choisir d''abord la famille)]],Nomenclature[Libellé court type d''action],0),COLUMN(Nomenclature[A suivre avec le mainteneur]))</f>
        <v>Mainteneur</v>
      </c>
      <c r="J48" s="7" t="str" cm="1">
        <f t="array" ref="J48">INDEX(Nomenclature[],MATCH(Actions[[#This Row],[Libellé court Fidji ACT 
(choisir d''abord la famille)]],Nomenclature[Libellé court type d''action],0),COLUMN(Nomenclature[A suivre avec le propriétaire]))</f>
        <v xml:space="preserve"> </v>
      </c>
      <c r="K48" s="7"/>
      <c r="L48" s="112" t="s">
        <v>533</v>
      </c>
      <c r="M48" s="7"/>
      <c r="N48" s="7" t="str" cm="1">
        <f t="array" ref="N48">INDEX(Nomenclature[],MATCH(Actions[[#This Row],[Libellé court Fidji ACT 
(choisir d''abord la famille)]],Nomenclature[Libellé court type d''action],0),COLUMN(Nomenclature[Quick win]))</f>
        <v>Rénovation légère</v>
      </c>
      <c r="O48" s="8"/>
      <c r="P48" s="8"/>
      <c r="Q48" s="8"/>
      <c r="R48" s="8"/>
      <c r="S48" s="8"/>
      <c r="T48" s="8"/>
      <c r="U48" s="8"/>
      <c r="V48" s="112" t="s">
        <v>533</v>
      </c>
      <c r="W48" s="11" t="s">
        <v>430</v>
      </c>
      <c r="X48" s="11"/>
      <c r="Y48" s="7"/>
      <c r="Z48" s="7"/>
      <c r="AA48" s="7" t="str" cm="1">
        <f t="array" ref="AA48">INDEX(Nomenclature[],MATCH(Actions[[#This Row],[Libellé court Fidji ACT 
(choisir d''abord la famille)]],Nomenclature[Libellé court type d''action],0),COLUMN(Nomenclature[Classe d''activité de référence]))</f>
        <v>7.3</v>
      </c>
      <c r="AB48" s="12"/>
      <c r="AC48" s="112" t="s">
        <v>533</v>
      </c>
      <c r="AD48" s="12"/>
      <c r="AE48" s="12"/>
      <c r="AF48" s="112" t="s">
        <v>533</v>
      </c>
    </row>
    <row r="49" spans="1:32" ht="55.2" customHeight="1">
      <c r="A49" s="28" t="s">
        <v>341</v>
      </c>
      <c r="B49" s="29" t="s">
        <v>350</v>
      </c>
      <c r="C49" s="101" t="str">
        <f>INDEX(Nomenclature[],MATCH(Actions[[#This Row],[Libellé court Fidji ACT 
(choisir d''abord la famille)]],Nomenclature[Libellé court type d''action],0),2)</f>
        <v>Mettre en place un système de freecooling</v>
      </c>
      <c r="D49" s="28" t="s">
        <v>56</v>
      </c>
      <c r="E49" s="7" t="s">
        <v>430</v>
      </c>
      <c r="F49" s="158"/>
      <c r="G49" s="7"/>
      <c r="H49" s="7"/>
      <c r="I49" s="7" t="str" cm="1">
        <f t="array" ref="I49">INDEX(Nomenclature[],MATCH(Actions[[#This Row],[Libellé court Fidji ACT 
(choisir d''abord la famille)]],Nomenclature[Libellé court type d''action],0),COLUMN(Nomenclature[A suivre avec le mainteneur]))</f>
        <v>Mainteneur</v>
      </c>
      <c r="J49" s="7" t="str" cm="1">
        <f t="array" ref="J49">INDEX(Nomenclature[],MATCH(Actions[[#This Row],[Libellé court Fidji ACT 
(choisir d''abord la famille)]],Nomenclature[Libellé court type d''action],0),COLUMN(Nomenclature[A suivre avec le propriétaire]))</f>
        <v xml:space="preserve"> </v>
      </c>
      <c r="K49" s="7"/>
      <c r="L49" s="112" t="s">
        <v>533</v>
      </c>
      <c r="M49" s="7"/>
      <c r="N49" s="7" t="str" cm="1">
        <f t="array" ref="N49">INDEX(Nomenclature[],MATCH(Actions[[#This Row],[Libellé court Fidji ACT 
(choisir d''abord la famille)]],Nomenclature[Libellé court type d''action],0),COLUMN(Nomenclature[Quick win]))</f>
        <v>Rénovation légère</v>
      </c>
      <c r="O49" s="8"/>
      <c r="P49" s="8"/>
      <c r="Q49" s="8"/>
      <c r="R49" s="8"/>
      <c r="S49" s="8"/>
      <c r="T49" s="8"/>
      <c r="U49" s="8"/>
      <c r="V49" s="112" t="s">
        <v>533</v>
      </c>
      <c r="W49" s="11" t="s">
        <v>430</v>
      </c>
      <c r="X49" s="11"/>
      <c r="Y49" s="7"/>
      <c r="Z49" s="7"/>
      <c r="AA49" s="7" t="str" cm="1">
        <f t="array" ref="AA49">INDEX(Nomenclature[],MATCH(Actions[[#This Row],[Libellé court Fidji ACT 
(choisir d''abord la famille)]],Nomenclature[Libellé court type d''action],0),COLUMN(Nomenclature[Classe d''activité de référence]))</f>
        <v>7.3</v>
      </c>
      <c r="AB49" s="12"/>
      <c r="AC49" s="112" t="s">
        <v>533</v>
      </c>
      <c r="AD49" s="12"/>
      <c r="AE49" s="12"/>
      <c r="AF49" s="112" t="s">
        <v>533</v>
      </c>
    </row>
    <row r="50" spans="1:32" ht="55.2" customHeight="1">
      <c r="A50" s="28" t="s">
        <v>341</v>
      </c>
      <c r="B50" s="29" t="s">
        <v>351</v>
      </c>
      <c r="C50" s="101" t="str">
        <f>INDEX(Nomenclature[],MATCH(Actions[[#This Row],[Libellé court Fidji ACT 
(choisir d''abord la famille)]],Nomenclature[Libellé court type d''action],0),2)</f>
        <v>Raccorder le bâtiment à un réseau urbain de chaleur ou de froid</v>
      </c>
      <c r="D50" s="28" t="s">
        <v>57</v>
      </c>
      <c r="E50" s="7" t="s">
        <v>430</v>
      </c>
      <c r="F50" s="158"/>
      <c r="G50" s="7"/>
      <c r="H50" s="7"/>
      <c r="I50" s="7" t="str" cm="1">
        <f t="array" ref="I50">INDEX(Nomenclature[],MATCH(Actions[[#This Row],[Libellé court Fidji ACT 
(choisir d''abord la famille)]],Nomenclature[Libellé court type d''action],0),COLUMN(Nomenclature[A suivre avec le mainteneur]))</f>
        <v>Mainteneur</v>
      </c>
      <c r="J50" s="7" t="str" cm="1">
        <f t="array" ref="J50">INDEX(Nomenclature[],MATCH(Actions[[#This Row],[Libellé court Fidji ACT 
(choisir d''abord la famille)]],Nomenclature[Libellé court type d''action],0),COLUMN(Nomenclature[A suivre avec le propriétaire]))</f>
        <v xml:space="preserve"> </v>
      </c>
      <c r="K50" s="7"/>
      <c r="L50" s="112" t="s">
        <v>533</v>
      </c>
      <c r="M50" s="7"/>
      <c r="N50" s="7" t="str" cm="1">
        <f t="array" ref="N50">INDEX(Nomenclature[],MATCH(Actions[[#This Row],[Libellé court Fidji ACT 
(choisir d''abord la famille)]],Nomenclature[Libellé court type d''action],0),COLUMN(Nomenclature[Quick win]))</f>
        <v>Rénovation légère</v>
      </c>
      <c r="O50" s="8"/>
      <c r="P50" s="8"/>
      <c r="Q50" s="8"/>
      <c r="R50" s="8"/>
      <c r="S50" s="8"/>
      <c r="T50" s="8"/>
      <c r="U50" s="8"/>
      <c r="V50" s="112" t="s">
        <v>533</v>
      </c>
      <c r="W50" s="11" t="s">
        <v>430</v>
      </c>
      <c r="X50" s="11"/>
      <c r="Y50" s="7"/>
      <c r="Z50" s="7"/>
      <c r="AA50" s="7" t="str" cm="1">
        <f t="array" ref="AA50">INDEX(Nomenclature[],MATCH(Actions[[#This Row],[Libellé court Fidji ACT 
(choisir d''abord la famille)]],Nomenclature[Libellé court type d''action],0),COLUMN(Nomenclature[Classe d''activité de référence]))</f>
        <v>7.3</v>
      </c>
      <c r="AB50" s="12"/>
      <c r="AC50" s="112" t="s">
        <v>533</v>
      </c>
      <c r="AD50" s="12"/>
      <c r="AE50" s="12"/>
      <c r="AF50" s="112" t="s">
        <v>533</v>
      </c>
    </row>
    <row r="51" spans="1:32" ht="55.2" customHeight="1">
      <c r="A51" s="28" t="s">
        <v>341</v>
      </c>
      <c r="B51" s="29" t="s">
        <v>352</v>
      </c>
      <c r="C51" s="101" t="str">
        <f>INDEX(Nomenclature[],MATCH(Actions[[#This Row],[Libellé court Fidji ACT 
(choisir d''abord la famille)]],Nomenclature[Libellé court type d''action],0),2)</f>
        <v xml:space="preserve">Mettre en place le pilotage du CVC via une GTB </v>
      </c>
      <c r="D51" s="28" t="s">
        <v>58</v>
      </c>
      <c r="E51" s="7" t="s">
        <v>430</v>
      </c>
      <c r="F51" s="158"/>
      <c r="G51" s="7"/>
      <c r="H51" s="7"/>
      <c r="I51" s="7" t="str" cm="1">
        <f t="array" ref="I51">INDEX(Nomenclature[],MATCH(Actions[[#This Row],[Libellé court Fidji ACT 
(choisir d''abord la famille)]],Nomenclature[Libellé court type d''action],0),COLUMN(Nomenclature[A suivre avec le mainteneur]))</f>
        <v>Mainteneur</v>
      </c>
      <c r="J51" s="7" t="str" cm="1">
        <f t="array" ref="J51">INDEX(Nomenclature[],MATCH(Actions[[#This Row],[Libellé court Fidji ACT 
(choisir d''abord la famille)]],Nomenclature[Libellé court type d''action],0),COLUMN(Nomenclature[A suivre avec le propriétaire]))</f>
        <v xml:space="preserve"> </v>
      </c>
      <c r="K51" s="7"/>
      <c r="L51" s="112" t="s">
        <v>533</v>
      </c>
      <c r="M51" s="7"/>
      <c r="N51" s="7" t="str" cm="1">
        <f t="array" ref="N51">INDEX(Nomenclature[],MATCH(Actions[[#This Row],[Libellé court Fidji ACT 
(choisir d''abord la famille)]],Nomenclature[Libellé court type d''action],0),COLUMN(Nomenclature[Quick win]))</f>
        <v>Rénovation légère</v>
      </c>
      <c r="O51" s="8"/>
      <c r="P51" s="8"/>
      <c r="Q51" s="8"/>
      <c r="R51" s="8"/>
      <c r="S51" s="8"/>
      <c r="T51" s="8"/>
      <c r="U51" s="8"/>
      <c r="V51" s="112" t="s">
        <v>533</v>
      </c>
      <c r="W51" s="11" t="s">
        <v>430</v>
      </c>
      <c r="X51" s="11"/>
      <c r="Y51" s="7"/>
      <c r="Z51" s="7"/>
      <c r="AA51" s="7" t="str" cm="1">
        <f t="array" ref="AA51">INDEX(Nomenclature[],MATCH(Actions[[#This Row],[Libellé court Fidji ACT 
(choisir d''abord la famille)]],Nomenclature[Libellé court type d''action],0),COLUMN(Nomenclature[Classe d''activité de référence]))</f>
        <v>7.5</v>
      </c>
      <c r="AB51" s="12"/>
      <c r="AC51" s="112" t="s">
        <v>533</v>
      </c>
      <c r="AD51" s="12"/>
      <c r="AE51" s="12"/>
      <c r="AF51" s="112" t="s">
        <v>533</v>
      </c>
    </row>
    <row r="52" spans="1:32" ht="55.2" customHeight="1">
      <c r="A52" s="28" t="s">
        <v>60</v>
      </c>
      <c r="B52" s="29" t="s">
        <v>244</v>
      </c>
      <c r="C52" s="101" t="str">
        <f>INDEX(Nomenclature[],MATCH(Actions[[#This Row],[Libellé court Fidji ACT 
(choisir d''abord la famille)]],Nomenclature[Libellé court type d''action],0),2)</f>
        <v>Remplacer chauffage gaz / fioul par pompe(s) à chaleur</v>
      </c>
      <c r="D52" s="28" t="s">
        <v>61</v>
      </c>
      <c r="E52" s="7" t="s">
        <v>430</v>
      </c>
      <c r="F52" s="158"/>
      <c r="G52" s="7"/>
      <c r="H52" s="7"/>
      <c r="I52" s="7" t="str" cm="1">
        <f t="array" ref="I52">INDEX(Nomenclature[],MATCH(Actions[[#This Row],[Libellé court Fidji ACT 
(choisir d''abord la famille)]],Nomenclature[Libellé court type d''action],0),COLUMN(Nomenclature[A suivre avec le mainteneur]))</f>
        <v xml:space="preserve"> </v>
      </c>
      <c r="J52" s="7" t="str" cm="1">
        <f t="array" ref="J52">INDEX(Nomenclature[],MATCH(Actions[[#This Row],[Libellé court Fidji ACT 
(choisir d''abord la famille)]],Nomenclature[Libellé court type d''action],0),COLUMN(Nomenclature[A suivre avec le propriétaire]))</f>
        <v>Propriétaire</v>
      </c>
      <c r="K52" s="7"/>
      <c r="L52" s="112" t="s">
        <v>533</v>
      </c>
      <c r="M52" s="7"/>
      <c r="N52" s="7" t="str" cm="1">
        <f t="array" ref="N52">INDEX(Nomenclature[],MATCH(Actions[[#This Row],[Libellé court Fidji ACT 
(choisir d''abord la famille)]],Nomenclature[Libellé court type d''action],0),COLUMN(Nomenclature[Quick win]))</f>
        <v>Rénovation légère</v>
      </c>
      <c r="O52" s="8"/>
      <c r="P52" s="8"/>
      <c r="Q52" s="8"/>
      <c r="R52" s="8"/>
      <c r="S52" s="8"/>
      <c r="T52" s="8"/>
      <c r="U52" s="8"/>
      <c r="V52" s="112" t="s">
        <v>533</v>
      </c>
      <c r="W52" s="11" t="s">
        <v>430</v>
      </c>
      <c r="X52" s="11"/>
      <c r="Y52" s="7"/>
      <c r="Z52" s="7"/>
      <c r="AA52" s="7" t="str" cm="1">
        <f t="array" ref="AA52">INDEX(Nomenclature[],MATCH(Actions[[#This Row],[Libellé court Fidji ACT 
(choisir d''abord la famille)]],Nomenclature[Libellé court type d''action],0),COLUMN(Nomenclature[Classe d''activité de référence]))</f>
        <v>7.6</v>
      </c>
      <c r="AB52" s="12"/>
      <c r="AC52" s="112" t="s">
        <v>533</v>
      </c>
      <c r="AD52" s="12"/>
      <c r="AE52" s="12"/>
      <c r="AF52" s="112" t="s">
        <v>533</v>
      </c>
    </row>
    <row r="53" spans="1:32" ht="55.2" customHeight="1">
      <c r="A53" s="28" t="s">
        <v>60</v>
      </c>
      <c r="B53" s="29" t="s">
        <v>245</v>
      </c>
      <c r="C53" s="101" t="str">
        <f>INDEX(Nomenclature[],MATCH(Actions[[#This Row],[Libellé court Fidji ACT 
(choisir d''abord la famille)]],Nomenclature[Libellé court type d''action],0),2)</f>
        <v>Remplacer chauffage gaz / fioul par chaudière biomasse</v>
      </c>
      <c r="D53" s="28" t="s">
        <v>62</v>
      </c>
      <c r="E53" s="7" t="s">
        <v>430</v>
      </c>
      <c r="F53" s="158"/>
      <c r="G53" s="7"/>
      <c r="H53" s="7"/>
      <c r="I53" s="7" t="str" cm="1">
        <f t="array" ref="I53">INDEX(Nomenclature[],MATCH(Actions[[#This Row],[Libellé court Fidji ACT 
(choisir d''abord la famille)]],Nomenclature[Libellé court type d''action],0),COLUMN(Nomenclature[A suivre avec le mainteneur]))</f>
        <v xml:space="preserve"> </v>
      </c>
      <c r="J53" s="7" t="str" cm="1">
        <f t="array" ref="J53">INDEX(Nomenclature[],MATCH(Actions[[#This Row],[Libellé court Fidji ACT 
(choisir d''abord la famille)]],Nomenclature[Libellé court type d''action],0),COLUMN(Nomenclature[A suivre avec le propriétaire]))</f>
        <v>Propriétaire</v>
      </c>
      <c r="K53" s="7"/>
      <c r="L53" s="112" t="s">
        <v>533</v>
      </c>
      <c r="M53" s="7"/>
      <c r="N53" s="7" t="str" cm="1">
        <f t="array" ref="N53">INDEX(Nomenclature[],MATCH(Actions[[#This Row],[Libellé court Fidji ACT 
(choisir d''abord la famille)]],Nomenclature[Libellé court type d''action],0),COLUMN(Nomenclature[Quick win]))</f>
        <v>Rénovation légère</v>
      </c>
      <c r="O53" s="8"/>
      <c r="P53" s="8"/>
      <c r="Q53" s="8"/>
      <c r="R53" s="8"/>
      <c r="S53" s="8"/>
      <c r="T53" s="8"/>
      <c r="U53" s="8"/>
      <c r="V53" s="112" t="s">
        <v>533</v>
      </c>
      <c r="W53" s="11" t="s">
        <v>430</v>
      </c>
      <c r="X53" s="11"/>
      <c r="Y53" s="7"/>
      <c r="Z53" s="7"/>
      <c r="AA53" s="7" t="str" cm="1">
        <f t="array" ref="AA53">INDEX(Nomenclature[],MATCH(Actions[[#This Row],[Libellé court Fidji ACT 
(choisir d''abord la famille)]],Nomenclature[Libellé court type d''action],0),COLUMN(Nomenclature[Classe d''activité de référence]))</f>
        <v>7.6</v>
      </c>
      <c r="AB53" s="12"/>
      <c r="AC53" s="112" t="s">
        <v>533</v>
      </c>
      <c r="AD53" s="12"/>
      <c r="AE53" s="12"/>
      <c r="AF53" s="112" t="s">
        <v>533</v>
      </c>
    </row>
    <row r="54" spans="1:32" ht="55.2" customHeight="1">
      <c r="A54" s="28" t="s">
        <v>60</v>
      </c>
      <c r="B54" s="29" t="s">
        <v>246</v>
      </c>
      <c r="C54" s="101" t="str">
        <f>INDEX(Nomenclature[],MATCH(Actions[[#This Row],[Libellé court Fidji ACT 
(choisir d''abord la famille)]],Nomenclature[Libellé court type d''action],0),2)</f>
        <v>Remplacer chauffage gaz / fioul par raccordement réseau de chaleur</v>
      </c>
      <c r="D54" s="28" t="s">
        <v>63</v>
      </c>
      <c r="E54" s="7" t="s">
        <v>430</v>
      </c>
      <c r="F54" s="158"/>
      <c r="G54" s="7"/>
      <c r="H54" s="7"/>
      <c r="I54" s="7" t="str" cm="1">
        <f t="array" ref="I54">INDEX(Nomenclature[],MATCH(Actions[[#This Row],[Libellé court Fidji ACT 
(choisir d''abord la famille)]],Nomenclature[Libellé court type d''action],0),COLUMN(Nomenclature[A suivre avec le mainteneur]))</f>
        <v xml:space="preserve"> </v>
      </c>
      <c r="J54" s="7" t="str" cm="1">
        <f t="array" ref="J54">INDEX(Nomenclature[],MATCH(Actions[[#This Row],[Libellé court Fidji ACT 
(choisir d''abord la famille)]],Nomenclature[Libellé court type d''action],0),COLUMN(Nomenclature[A suivre avec le propriétaire]))</f>
        <v>Propriétaire</v>
      </c>
      <c r="K54" s="7"/>
      <c r="L54" s="112" t="s">
        <v>533</v>
      </c>
      <c r="M54" s="7"/>
      <c r="N54" s="7" t="str" cm="1">
        <f t="array" ref="N54">INDEX(Nomenclature[],MATCH(Actions[[#This Row],[Libellé court Fidji ACT 
(choisir d''abord la famille)]],Nomenclature[Libellé court type d''action],0),COLUMN(Nomenclature[Quick win]))</f>
        <v>Rénovation légère</v>
      </c>
      <c r="O54" s="8"/>
      <c r="P54" s="8"/>
      <c r="Q54" s="8"/>
      <c r="R54" s="8"/>
      <c r="S54" s="8"/>
      <c r="T54" s="8"/>
      <c r="U54" s="8"/>
      <c r="V54" s="112" t="s">
        <v>533</v>
      </c>
      <c r="W54" s="11" t="s">
        <v>430</v>
      </c>
      <c r="X54" s="11"/>
      <c r="Y54" s="7"/>
      <c r="Z54" s="7"/>
      <c r="AA54" s="7" t="str" cm="1">
        <f t="array" ref="AA54">INDEX(Nomenclature[],MATCH(Actions[[#This Row],[Libellé court Fidji ACT 
(choisir d''abord la famille)]],Nomenclature[Libellé court type d''action],0),COLUMN(Nomenclature[Classe d''activité de référence]))</f>
        <v>7.3</v>
      </c>
      <c r="AB54" s="12"/>
      <c r="AC54" s="112" t="s">
        <v>533</v>
      </c>
      <c r="AD54" s="12"/>
      <c r="AE54" s="12"/>
      <c r="AF54" s="112" t="s">
        <v>533</v>
      </c>
    </row>
    <row r="55" spans="1:32" ht="55.2" customHeight="1">
      <c r="A55" s="28" t="s">
        <v>60</v>
      </c>
      <c r="B55" s="29" t="s">
        <v>247</v>
      </c>
      <c r="C55" s="101" t="str">
        <f>INDEX(Nomenclature[],MATCH(Actions[[#This Row],[Libellé court Fidji ACT 
(choisir d''abord la famille)]],Nomenclature[Libellé court type d''action],0),2)</f>
        <v>Tendre vers l’abandon du gaz sur site déjà équipé d’appareils hybrides PAC-gaz</v>
      </c>
      <c r="D55" s="28" t="s">
        <v>64</v>
      </c>
      <c r="E55" s="7" t="s">
        <v>430</v>
      </c>
      <c r="F55" s="158"/>
      <c r="G55" s="7"/>
      <c r="H55" s="7"/>
      <c r="I55" s="7" t="str" cm="1">
        <f t="array" ref="I55">INDEX(Nomenclature[],MATCH(Actions[[#This Row],[Libellé court Fidji ACT 
(choisir d''abord la famille)]],Nomenclature[Libellé court type d''action],0),COLUMN(Nomenclature[A suivre avec le mainteneur]))</f>
        <v>Mainteneur</v>
      </c>
      <c r="J55" s="7" t="str" cm="1">
        <f t="array" ref="J55">INDEX(Nomenclature[],MATCH(Actions[[#This Row],[Libellé court Fidji ACT 
(choisir d''abord la famille)]],Nomenclature[Libellé court type d''action],0),COLUMN(Nomenclature[A suivre avec le propriétaire]))</f>
        <v xml:space="preserve"> </v>
      </c>
      <c r="K55" s="7"/>
      <c r="L55" s="112" t="s">
        <v>533</v>
      </c>
      <c r="M55" s="7"/>
      <c r="N55" s="7" t="str" cm="1">
        <f t="array" ref="N55">INDEX(Nomenclature[],MATCH(Actions[[#This Row],[Libellé court Fidji ACT 
(choisir d''abord la famille)]],Nomenclature[Libellé court type d''action],0),COLUMN(Nomenclature[Quick win]))</f>
        <v>Rénovation légère</v>
      </c>
      <c r="O55" s="8"/>
      <c r="P55" s="8"/>
      <c r="Q55" s="8"/>
      <c r="R55" s="8"/>
      <c r="S55" s="8"/>
      <c r="T55" s="8"/>
      <c r="U55" s="8"/>
      <c r="V55" s="112" t="s">
        <v>533</v>
      </c>
      <c r="W55" s="11" t="s">
        <v>430</v>
      </c>
      <c r="X55" s="11"/>
      <c r="Y55" s="7"/>
      <c r="Z55" s="7"/>
      <c r="AA55" s="7" t="str" cm="1">
        <f t="array" ref="AA55">INDEX(Nomenclature[],MATCH(Actions[[#This Row],[Libellé court Fidji ACT 
(choisir d''abord la famille)]],Nomenclature[Libellé court type d''action],0),COLUMN(Nomenclature[Classe d''activité de référence]))</f>
        <v>-</v>
      </c>
      <c r="AB55" s="12"/>
      <c r="AC55" s="112" t="s">
        <v>533</v>
      </c>
      <c r="AD55" s="12"/>
      <c r="AE55" s="12"/>
      <c r="AF55" s="112" t="s">
        <v>533</v>
      </c>
    </row>
    <row r="56" spans="1:32" ht="55.2" customHeight="1">
      <c r="A56" s="28" t="s">
        <v>60</v>
      </c>
      <c r="B56" s="29" t="s">
        <v>353</v>
      </c>
      <c r="C56" s="101" t="str">
        <f>INDEX(Nomenclature[],MATCH(Actions[[#This Row],[Libellé court Fidji ACT 
(choisir d''abord la famille)]],Nomenclature[Libellé court type d''action],0),2)</f>
        <v>Installer EnR : photovoltaïque / solaire thermique / éolienne / géothermie / …</v>
      </c>
      <c r="D56" s="28" t="s">
        <v>507</v>
      </c>
      <c r="E56" s="7" t="s">
        <v>430</v>
      </c>
      <c r="F56" s="158"/>
      <c r="G56" s="7"/>
      <c r="H56" s="7"/>
      <c r="I56" s="7" t="str" cm="1">
        <f t="array" ref="I56">INDEX(Nomenclature[],MATCH(Actions[[#This Row],[Libellé court Fidji ACT 
(choisir d''abord la famille)]],Nomenclature[Libellé court type d''action],0),COLUMN(Nomenclature[A suivre avec le mainteneur]))</f>
        <v xml:space="preserve"> </v>
      </c>
      <c r="J56" s="7" t="str" cm="1">
        <f t="array" ref="J56">INDEX(Nomenclature[],MATCH(Actions[[#This Row],[Libellé court Fidji ACT 
(choisir d''abord la famille)]],Nomenclature[Libellé court type d''action],0),COLUMN(Nomenclature[A suivre avec le propriétaire]))</f>
        <v>Propriétaire</v>
      </c>
      <c r="K56" s="7"/>
      <c r="L56" s="112" t="s">
        <v>533</v>
      </c>
      <c r="M56" s="7"/>
      <c r="N56" s="7" t="str" cm="1">
        <f t="array" ref="N56">INDEX(Nomenclature[],MATCH(Actions[[#This Row],[Libellé court Fidji ACT 
(choisir d''abord la famille)]],Nomenclature[Libellé court type d''action],0),COLUMN(Nomenclature[Quick win]))</f>
        <v>Rénovation légère</v>
      </c>
      <c r="O56" s="8"/>
      <c r="P56" s="8"/>
      <c r="Q56" s="8"/>
      <c r="R56" s="8"/>
      <c r="S56" s="8"/>
      <c r="T56" s="8"/>
      <c r="U56" s="8"/>
      <c r="V56" s="112" t="s">
        <v>533</v>
      </c>
      <c r="W56" s="11" t="s">
        <v>430</v>
      </c>
      <c r="X56" s="11"/>
      <c r="Y56" s="7"/>
      <c r="Z56" s="7"/>
      <c r="AA56" s="7" t="str" cm="1">
        <f t="array" ref="AA56">INDEX(Nomenclature[],MATCH(Actions[[#This Row],[Libellé court Fidji ACT 
(choisir d''abord la famille)]],Nomenclature[Libellé court type d''action],0),COLUMN(Nomenclature[Classe d''activité de référence]))</f>
        <v>7.6</v>
      </c>
      <c r="AB56" s="12"/>
      <c r="AC56" s="112" t="s">
        <v>533</v>
      </c>
      <c r="AD56" s="12"/>
      <c r="AE56" s="12"/>
      <c r="AF56" s="112" t="s">
        <v>533</v>
      </c>
    </row>
    <row r="57" spans="1:32" ht="55.2" customHeight="1">
      <c r="A57" s="28" t="s">
        <v>60</v>
      </c>
      <c r="B57" s="29" t="s">
        <v>354</v>
      </c>
      <c r="C57" s="101" t="str">
        <f>INDEX(Nomenclature[],MATCH(Actions[[#This Row],[Libellé court Fidji ACT 
(choisir d''abord la famille)]],Nomenclature[Libellé court type d''action],0),2)</f>
        <v>Installer / maintenir unités stockage d’énergie thermique / électrique</v>
      </c>
      <c r="D57" s="28" t="s">
        <v>66</v>
      </c>
      <c r="E57" s="7" t="s">
        <v>430</v>
      </c>
      <c r="F57" s="158"/>
      <c r="G57" s="7"/>
      <c r="H57" s="7"/>
      <c r="I57" s="7" t="str" cm="1">
        <f t="array" ref="I57">INDEX(Nomenclature[],MATCH(Actions[[#This Row],[Libellé court Fidji ACT 
(choisir d''abord la famille)]],Nomenclature[Libellé court type d''action],0),COLUMN(Nomenclature[A suivre avec le mainteneur]))</f>
        <v xml:space="preserve"> </v>
      </c>
      <c r="J57" s="7" t="str" cm="1">
        <f t="array" ref="J57">INDEX(Nomenclature[],MATCH(Actions[[#This Row],[Libellé court Fidji ACT 
(choisir d''abord la famille)]],Nomenclature[Libellé court type d''action],0),COLUMN(Nomenclature[A suivre avec le propriétaire]))</f>
        <v>Propriétaire</v>
      </c>
      <c r="K57" s="7"/>
      <c r="L57" s="112" t="s">
        <v>533</v>
      </c>
      <c r="M57" s="7"/>
      <c r="N57" s="7" t="str" cm="1">
        <f t="array" ref="N57">INDEX(Nomenclature[],MATCH(Actions[[#This Row],[Libellé court Fidji ACT 
(choisir d''abord la famille)]],Nomenclature[Libellé court type d''action],0),COLUMN(Nomenclature[Quick win]))</f>
        <v>Rénovation légère</v>
      </c>
      <c r="O57" s="8"/>
      <c r="P57" s="8"/>
      <c r="Q57" s="8"/>
      <c r="R57" s="8"/>
      <c r="S57" s="8"/>
      <c r="T57" s="8"/>
      <c r="U57" s="8"/>
      <c r="V57" s="112" t="s">
        <v>533</v>
      </c>
      <c r="W57" s="11" t="s">
        <v>430</v>
      </c>
      <c r="X57" s="11"/>
      <c r="Y57" s="7"/>
      <c r="Z57" s="7"/>
      <c r="AA57" s="7" t="str" cm="1">
        <f t="array" ref="AA57">INDEX(Nomenclature[],MATCH(Actions[[#This Row],[Libellé court Fidji ACT 
(choisir d''abord la famille)]],Nomenclature[Libellé court type d''action],0),COLUMN(Nomenclature[Classe d''activité de référence]))</f>
        <v>7.6</v>
      </c>
      <c r="AB57" s="12"/>
      <c r="AC57" s="112" t="s">
        <v>533</v>
      </c>
      <c r="AD57" s="12"/>
      <c r="AE57" s="12"/>
      <c r="AF57" s="112" t="s">
        <v>533</v>
      </c>
    </row>
    <row r="58" spans="1:32" ht="55.2" customHeight="1">
      <c r="A58" s="28" t="s">
        <v>60</v>
      </c>
      <c r="B58" s="29" t="s">
        <v>355</v>
      </c>
      <c r="C58" s="101" t="str">
        <f>INDEX(Nomenclature[],MATCH(Actions[[#This Row],[Libellé court Fidji ACT 
(choisir d''abord la famille)]],Nomenclature[Libellé court type d''action],0),2)</f>
        <v>Installer et maintenir une micro-installation de cogénération</v>
      </c>
      <c r="D58" s="28" t="s">
        <v>67</v>
      </c>
      <c r="E58" s="7" t="s">
        <v>430</v>
      </c>
      <c r="F58" s="158"/>
      <c r="G58" s="7"/>
      <c r="H58" s="7"/>
      <c r="I58" s="7" t="str" cm="1">
        <f t="array" ref="I58">INDEX(Nomenclature[],MATCH(Actions[[#This Row],[Libellé court Fidji ACT 
(choisir d''abord la famille)]],Nomenclature[Libellé court type d''action],0),COLUMN(Nomenclature[A suivre avec le mainteneur]))</f>
        <v xml:space="preserve"> </v>
      </c>
      <c r="J58" s="7" t="str" cm="1">
        <f t="array" ref="J58">INDEX(Nomenclature[],MATCH(Actions[[#This Row],[Libellé court Fidji ACT 
(choisir d''abord la famille)]],Nomenclature[Libellé court type d''action],0),COLUMN(Nomenclature[A suivre avec le propriétaire]))</f>
        <v>Propriétaire</v>
      </c>
      <c r="K58" s="7"/>
      <c r="L58" s="112" t="s">
        <v>533</v>
      </c>
      <c r="M58" s="7"/>
      <c r="N58" s="7" t="str" cm="1">
        <f t="array" ref="N58">INDEX(Nomenclature[],MATCH(Actions[[#This Row],[Libellé court Fidji ACT 
(choisir d''abord la famille)]],Nomenclature[Libellé court type d''action],0),COLUMN(Nomenclature[Quick win]))</f>
        <v>Rénovation légère</v>
      </c>
      <c r="O58" s="8"/>
      <c r="P58" s="8"/>
      <c r="Q58" s="8"/>
      <c r="R58" s="8"/>
      <c r="S58" s="8"/>
      <c r="T58" s="8"/>
      <c r="U58" s="8"/>
      <c r="V58" s="112" t="s">
        <v>533</v>
      </c>
      <c r="W58" s="11" t="s">
        <v>430</v>
      </c>
      <c r="X58" s="11"/>
      <c r="Y58" s="7"/>
      <c r="Z58" s="7"/>
      <c r="AA58" s="7" t="str" cm="1">
        <f t="array" ref="AA58">INDEX(Nomenclature[],MATCH(Actions[[#This Row],[Libellé court Fidji ACT 
(choisir d''abord la famille)]],Nomenclature[Libellé court type d''action],0),COLUMN(Nomenclature[Classe d''activité de référence]))</f>
        <v>7.6</v>
      </c>
      <c r="AB58" s="12"/>
      <c r="AC58" s="112" t="s">
        <v>533</v>
      </c>
      <c r="AD58" s="12"/>
      <c r="AE58" s="12"/>
      <c r="AF58" s="112" t="s">
        <v>533</v>
      </c>
    </row>
    <row r="59" spans="1:32" ht="55.2" customHeight="1">
      <c r="A59" s="28" t="s">
        <v>69</v>
      </c>
      <c r="B59" s="29" t="s">
        <v>248</v>
      </c>
      <c r="C59" s="101" t="str">
        <f>INDEX(Nomenclature[],MATCH(Actions[[#This Row],[Libellé court Fidji ACT 
(choisir d''abord la famille)]],Nomenclature[Libellé court type d''action],0),2)</f>
        <v>Optimiser la production d’ECS en f° des besoins et adapter l’installation si nécessaire</v>
      </c>
      <c r="D59" s="28" t="s">
        <v>70</v>
      </c>
      <c r="E59" s="7" t="s">
        <v>430</v>
      </c>
      <c r="F59" s="158"/>
      <c r="G59" s="7"/>
      <c r="H59" s="7"/>
      <c r="I59" s="7" t="str" cm="1">
        <f t="array" ref="I59">INDEX(Nomenclature[],MATCH(Actions[[#This Row],[Libellé court Fidji ACT 
(choisir d''abord la famille)]],Nomenclature[Libellé court type d''action],0),COLUMN(Nomenclature[A suivre avec le mainteneur]))</f>
        <v>Mainteneur</v>
      </c>
      <c r="J59" s="7" t="str" cm="1">
        <f t="array" ref="J59">INDEX(Nomenclature[],MATCH(Actions[[#This Row],[Libellé court Fidji ACT 
(choisir d''abord la famille)]],Nomenclature[Libellé court type d''action],0),COLUMN(Nomenclature[A suivre avec le propriétaire]))</f>
        <v xml:space="preserve"> </v>
      </c>
      <c r="K59" s="7"/>
      <c r="L59" s="112" t="s">
        <v>533</v>
      </c>
      <c r="M59" s="7"/>
      <c r="N59" s="7" t="str" cm="1">
        <f t="array" ref="N59">INDEX(Nomenclature[],MATCH(Actions[[#This Row],[Libellé court Fidji ACT 
(choisir d''abord la famille)]],Nomenclature[Libellé court type d''action],0),COLUMN(Nomenclature[Quick win]))</f>
        <v>Quick win</v>
      </c>
      <c r="O59" s="8"/>
      <c r="P59" s="8"/>
      <c r="Q59" s="8"/>
      <c r="R59" s="8"/>
      <c r="S59" s="8"/>
      <c r="T59" s="8"/>
      <c r="U59" s="8"/>
      <c r="V59" s="112" t="s">
        <v>533</v>
      </c>
      <c r="W59" s="11" t="s">
        <v>430</v>
      </c>
      <c r="X59" s="11"/>
      <c r="Y59" s="7"/>
      <c r="Z59" s="7"/>
      <c r="AA59" s="7" t="str" cm="1">
        <f t="array" ref="AA59">INDEX(Nomenclature[],MATCH(Actions[[#This Row],[Libellé court Fidji ACT 
(choisir d''abord la famille)]],Nomenclature[Libellé court type d''action],0),COLUMN(Nomenclature[Classe d''activité de référence]))</f>
        <v>7.3</v>
      </c>
      <c r="AB59" s="12"/>
      <c r="AC59" s="112" t="s">
        <v>533</v>
      </c>
      <c r="AD59" s="12"/>
      <c r="AE59" s="12"/>
      <c r="AF59" s="112" t="s">
        <v>533</v>
      </c>
    </row>
    <row r="60" spans="1:32" ht="55.2" customHeight="1">
      <c r="A60" s="28" t="s">
        <v>69</v>
      </c>
      <c r="B60" s="29" t="s">
        <v>357</v>
      </c>
      <c r="C60" s="101" t="str">
        <f>INDEX(Nomenclature[],MATCH(Actions[[#This Row],[Libellé court Fidji ACT 
(choisir d''abord la famille)]],Nomenclature[Libellé court type d''action],0),2)</f>
        <v xml:space="preserve">Arrêter la production d’eau chaude, sauf cas indispensable </v>
      </c>
      <c r="D60" s="28" t="s">
        <v>71</v>
      </c>
      <c r="E60" s="7" t="s">
        <v>430</v>
      </c>
      <c r="F60" s="158"/>
      <c r="G60" s="7"/>
      <c r="H60" s="7"/>
      <c r="I60" s="7" t="str" cm="1">
        <f t="array" ref="I60">INDEX(Nomenclature[],MATCH(Actions[[#This Row],[Libellé court Fidji ACT 
(choisir d''abord la famille)]],Nomenclature[Libellé court type d''action],0),COLUMN(Nomenclature[A suivre avec le mainteneur]))</f>
        <v>Mainteneur</v>
      </c>
      <c r="J60" s="7" t="str" cm="1">
        <f t="array" ref="J60">INDEX(Nomenclature[],MATCH(Actions[[#This Row],[Libellé court Fidji ACT 
(choisir d''abord la famille)]],Nomenclature[Libellé court type d''action],0),COLUMN(Nomenclature[A suivre avec le propriétaire]))</f>
        <v xml:space="preserve"> </v>
      </c>
      <c r="K60" s="7"/>
      <c r="L60" s="112" t="s">
        <v>533</v>
      </c>
      <c r="M60" s="7"/>
      <c r="N60" s="7" t="str" cm="1">
        <f t="array" ref="N60">INDEX(Nomenclature[],MATCH(Actions[[#This Row],[Libellé court Fidji ACT 
(choisir d''abord la famille)]],Nomenclature[Libellé court type d''action],0),COLUMN(Nomenclature[Quick win]))</f>
        <v>Quick win</v>
      </c>
      <c r="O60" s="8"/>
      <c r="P60" s="8"/>
      <c r="Q60" s="8"/>
      <c r="R60" s="8"/>
      <c r="S60" s="8"/>
      <c r="T60" s="8"/>
      <c r="U60" s="8"/>
      <c r="V60" s="112" t="s">
        <v>533</v>
      </c>
      <c r="W60" s="11" t="s">
        <v>430</v>
      </c>
      <c r="X60" s="11"/>
      <c r="Y60" s="7"/>
      <c r="Z60" s="7"/>
      <c r="AA60" s="7" t="str" cm="1">
        <f t="array" ref="AA60">INDEX(Nomenclature[],MATCH(Actions[[#This Row],[Libellé court Fidji ACT 
(choisir d''abord la famille)]],Nomenclature[Libellé court type d''action],0),COLUMN(Nomenclature[Classe d''activité de référence]))</f>
        <v>7.3</v>
      </c>
      <c r="AB60" s="12"/>
      <c r="AC60" s="112" t="s">
        <v>533</v>
      </c>
      <c r="AD60" s="12"/>
      <c r="AE60" s="12"/>
      <c r="AF60" s="112" t="s">
        <v>533</v>
      </c>
    </row>
    <row r="61" spans="1:32" ht="55.2" customHeight="1">
      <c r="A61" s="28" t="s">
        <v>69</v>
      </c>
      <c r="B61" s="29" t="s">
        <v>358</v>
      </c>
      <c r="C61" s="101" t="str">
        <f>INDEX(Nomenclature[],MATCH(Actions[[#This Row],[Libellé court Fidji ACT 
(choisir d''abord la famille)]],Nomenclature[Libellé court type d''action],0),2)</f>
        <v xml:space="preserve">Isoler ballon ECS, réseau ECS et points singuliers (échangeurs, vannes 3 voies, …) </v>
      </c>
      <c r="D61" s="28" t="s">
        <v>72</v>
      </c>
      <c r="E61" s="7" t="s">
        <v>430</v>
      </c>
      <c r="F61" s="158"/>
      <c r="G61" s="7"/>
      <c r="H61" s="7"/>
      <c r="I61" s="7" t="str" cm="1">
        <f t="array" ref="I61">INDEX(Nomenclature[],MATCH(Actions[[#This Row],[Libellé court Fidji ACT 
(choisir d''abord la famille)]],Nomenclature[Libellé court type d''action],0),COLUMN(Nomenclature[A suivre avec le mainteneur]))</f>
        <v xml:space="preserve"> </v>
      </c>
      <c r="J61" s="7" t="str" cm="1">
        <f t="array" ref="J61">INDEX(Nomenclature[],MATCH(Actions[[#This Row],[Libellé court Fidji ACT 
(choisir d''abord la famille)]],Nomenclature[Libellé court type d''action],0),COLUMN(Nomenclature[A suivre avec le propriétaire]))</f>
        <v>Propriétaire</v>
      </c>
      <c r="K61" s="7"/>
      <c r="L61" s="112" t="s">
        <v>533</v>
      </c>
      <c r="M61" s="7"/>
      <c r="N61" s="7" t="str" cm="1">
        <f t="array" ref="N61">INDEX(Nomenclature[],MATCH(Actions[[#This Row],[Libellé court Fidji ACT 
(choisir d''abord la famille)]],Nomenclature[Libellé court type d''action],0),COLUMN(Nomenclature[Quick win]))</f>
        <v>Quick win</v>
      </c>
      <c r="O61" s="8"/>
      <c r="P61" s="8"/>
      <c r="Q61" s="8"/>
      <c r="R61" s="8"/>
      <c r="S61" s="8"/>
      <c r="T61" s="8"/>
      <c r="U61" s="8"/>
      <c r="V61" s="112" t="s">
        <v>533</v>
      </c>
      <c r="W61" s="11" t="s">
        <v>430</v>
      </c>
      <c r="X61" s="11"/>
      <c r="Y61" s="7"/>
      <c r="Z61" s="7"/>
      <c r="AA61" s="7" t="str" cm="1">
        <f t="array" ref="AA61">INDEX(Nomenclature[],MATCH(Actions[[#This Row],[Libellé court Fidji ACT 
(choisir d''abord la famille)]],Nomenclature[Libellé court type d''action],0),COLUMN(Nomenclature[Classe d''activité de référence]))</f>
        <v>7.3</v>
      </c>
      <c r="AB61" s="12"/>
      <c r="AC61" s="112" t="s">
        <v>533</v>
      </c>
      <c r="AD61" s="12"/>
      <c r="AE61" s="12"/>
      <c r="AF61" s="112" t="s">
        <v>533</v>
      </c>
    </row>
    <row r="62" spans="1:32" ht="55.2" customHeight="1">
      <c r="A62" s="28" t="s">
        <v>69</v>
      </c>
      <c r="B62" s="29" t="s">
        <v>359</v>
      </c>
      <c r="C62" s="101" t="str">
        <f>INDEX(Nomenclature[],MATCH(Actions[[#This Row],[Libellé court Fidji ACT 
(choisir d''abord la famille)]],Nomenclature[Libellé court type d''action],0),2)</f>
        <v>Récupérer énergie sur eaux grises ou air extrait pour préchauffage ECS</v>
      </c>
      <c r="D62" s="28" t="s">
        <v>73</v>
      </c>
      <c r="E62" s="7" t="s">
        <v>430</v>
      </c>
      <c r="F62" s="158"/>
      <c r="G62" s="7"/>
      <c r="H62" s="7"/>
      <c r="I62" s="7" t="str" cm="1">
        <f t="array" ref="I62">INDEX(Nomenclature[],MATCH(Actions[[#This Row],[Libellé court Fidji ACT 
(choisir d''abord la famille)]],Nomenclature[Libellé court type d''action],0),COLUMN(Nomenclature[A suivre avec le mainteneur]))</f>
        <v xml:space="preserve"> </v>
      </c>
      <c r="J62" s="7" t="str" cm="1">
        <f t="array" ref="J62">INDEX(Nomenclature[],MATCH(Actions[[#This Row],[Libellé court Fidji ACT 
(choisir d''abord la famille)]],Nomenclature[Libellé court type d''action],0),COLUMN(Nomenclature[A suivre avec le propriétaire]))</f>
        <v>Propriétaire</v>
      </c>
      <c r="K62" s="7"/>
      <c r="L62" s="112" t="s">
        <v>533</v>
      </c>
      <c r="M62" s="7"/>
      <c r="N62" s="7" t="str" cm="1">
        <f t="array" ref="N62">INDEX(Nomenclature[],MATCH(Actions[[#This Row],[Libellé court Fidji ACT 
(choisir d''abord la famille)]],Nomenclature[Libellé court type d''action],0),COLUMN(Nomenclature[Quick win]))</f>
        <v>Quick win</v>
      </c>
      <c r="O62" s="8"/>
      <c r="P62" s="8"/>
      <c r="Q62" s="8"/>
      <c r="R62" s="8"/>
      <c r="S62" s="8"/>
      <c r="T62" s="8"/>
      <c r="U62" s="8"/>
      <c r="V62" s="112" t="s">
        <v>533</v>
      </c>
      <c r="W62" s="11" t="s">
        <v>430</v>
      </c>
      <c r="X62" s="11"/>
      <c r="Y62" s="7"/>
      <c r="Z62" s="7"/>
      <c r="AA62" s="7" t="str" cm="1">
        <f t="array" ref="AA62">INDEX(Nomenclature[],MATCH(Actions[[#This Row],[Libellé court Fidji ACT 
(choisir d''abord la famille)]],Nomenclature[Libellé court type d''action],0),COLUMN(Nomenclature[Classe d''activité de référence]))</f>
        <v>7.3</v>
      </c>
      <c r="AB62" s="12"/>
      <c r="AC62" s="112" t="s">
        <v>533</v>
      </c>
      <c r="AD62" s="12"/>
      <c r="AE62" s="12"/>
      <c r="AF62" s="112" t="s">
        <v>533</v>
      </c>
    </row>
    <row r="63" spans="1:32" ht="55.2" customHeight="1">
      <c r="A63" s="28" t="s">
        <v>69</v>
      </c>
      <c r="B63" s="29" t="s">
        <v>360</v>
      </c>
      <c r="C63" s="101" t="str">
        <f>INDEX(Nomenclature[],MATCH(Actions[[#This Row],[Libellé court Fidji ACT 
(choisir d''abord la famille)]],Nomenclature[Libellé court type d''action],0),2)</f>
        <v>Installer système ECS solaire</v>
      </c>
      <c r="D63" s="28" t="s">
        <v>74</v>
      </c>
      <c r="E63" s="7" t="s">
        <v>430</v>
      </c>
      <c r="F63" s="158"/>
      <c r="G63" s="7"/>
      <c r="H63" s="7"/>
      <c r="I63" s="7" t="str" cm="1">
        <f t="array" ref="I63">INDEX(Nomenclature[],MATCH(Actions[[#This Row],[Libellé court Fidji ACT 
(choisir d''abord la famille)]],Nomenclature[Libellé court type d''action],0),COLUMN(Nomenclature[A suivre avec le mainteneur]))</f>
        <v xml:space="preserve"> </v>
      </c>
      <c r="J63" s="7" t="str" cm="1">
        <f t="array" ref="J63">INDEX(Nomenclature[],MATCH(Actions[[#This Row],[Libellé court Fidji ACT 
(choisir d''abord la famille)]],Nomenclature[Libellé court type d''action],0),COLUMN(Nomenclature[A suivre avec le propriétaire]))</f>
        <v>Propriétaire</v>
      </c>
      <c r="K63" s="7"/>
      <c r="L63" s="112" t="s">
        <v>533</v>
      </c>
      <c r="M63" s="7"/>
      <c r="N63" s="7" t="str" cm="1">
        <f t="array" ref="N63">INDEX(Nomenclature[],MATCH(Actions[[#This Row],[Libellé court Fidji ACT 
(choisir d''abord la famille)]],Nomenclature[Libellé court type d''action],0),COLUMN(Nomenclature[Quick win]))</f>
        <v>Rénovation légère</v>
      </c>
      <c r="O63" s="8"/>
      <c r="P63" s="8"/>
      <c r="Q63" s="8"/>
      <c r="R63" s="8"/>
      <c r="S63" s="8"/>
      <c r="T63" s="8"/>
      <c r="U63" s="8"/>
      <c r="V63" s="112" t="s">
        <v>533</v>
      </c>
      <c r="W63" s="11" t="s">
        <v>430</v>
      </c>
      <c r="X63" s="11"/>
      <c r="Y63" s="7"/>
      <c r="Z63" s="7"/>
      <c r="AA63" s="7" t="str" cm="1">
        <f t="array" ref="AA63">INDEX(Nomenclature[],MATCH(Actions[[#This Row],[Libellé court Fidji ACT 
(choisir d''abord la famille)]],Nomenclature[Libellé court type d''action],0),COLUMN(Nomenclature[Classe d''activité de référence]))</f>
        <v>7.6</v>
      </c>
      <c r="AB63" s="12"/>
      <c r="AC63" s="112" t="s">
        <v>533</v>
      </c>
      <c r="AD63" s="12"/>
      <c r="AE63" s="12"/>
      <c r="AF63" s="112" t="s">
        <v>533</v>
      </c>
    </row>
    <row r="64" spans="1:32" ht="55.2" customHeight="1">
      <c r="A64" s="28" t="s">
        <v>69</v>
      </c>
      <c r="B64" s="29" t="s">
        <v>361</v>
      </c>
      <c r="C64" s="101" t="str">
        <f>INDEX(Nomenclature[],MATCH(Actions[[#This Row],[Libellé court Fidji ACT 
(choisir d''abord la famille)]],Nomenclature[Libellé court type d''action],0),2)</f>
        <v>Installer système ECS thermodynamique</v>
      </c>
      <c r="D64" s="28" t="s">
        <v>75</v>
      </c>
      <c r="E64" s="7" t="s">
        <v>430</v>
      </c>
      <c r="F64" s="158"/>
      <c r="G64" s="7"/>
      <c r="H64" s="7"/>
      <c r="I64" s="7" t="str" cm="1">
        <f t="array" ref="I64">INDEX(Nomenclature[],MATCH(Actions[[#This Row],[Libellé court Fidji ACT 
(choisir d''abord la famille)]],Nomenclature[Libellé court type d''action],0),COLUMN(Nomenclature[A suivre avec le mainteneur]))</f>
        <v xml:space="preserve"> </v>
      </c>
      <c r="J64" s="7" t="str" cm="1">
        <f t="array" ref="J64">INDEX(Nomenclature[],MATCH(Actions[[#This Row],[Libellé court Fidji ACT 
(choisir d''abord la famille)]],Nomenclature[Libellé court type d''action],0),COLUMN(Nomenclature[A suivre avec le propriétaire]))</f>
        <v>Propriétaire</v>
      </c>
      <c r="K64" s="7"/>
      <c r="L64" s="112" t="s">
        <v>533</v>
      </c>
      <c r="M64" s="7"/>
      <c r="N64" s="7" t="str" cm="1">
        <f t="array" ref="N64">INDEX(Nomenclature[],MATCH(Actions[[#This Row],[Libellé court Fidji ACT 
(choisir d''abord la famille)]],Nomenclature[Libellé court type d''action],0),COLUMN(Nomenclature[Quick win]))</f>
        <v>Rénovation légère</v>
      </c>
      <c r="O64" s="8"/>
      <c r="P64" s="8"/>
      <c r="Q64" s="8"/>
      <c r="R64" s="8"/>
      <c r="S64" s="8"/>
      <c r="T64" s="8"/>
      <c r="U64" s="8"/>
      <c r="V64" s="112" t="s">
        <v>533</v>
      </c>
      <c r="W64" s="11" t="s">
        <v>430</v>
      </c>
      <c r="X64" s="11"/>
      <c r="Y64" s="7"/>
      <c r="Z64" s="7"/>
      <c r="AA64" s="7" t="str" cm="1">
        <f t="array" ref="AA64">INDEX(Nomenclature[],MATCH(Actions[[#This Row],[Libellé court Fidji ACT 
(choisir d''abord la famille)]],Nomenclature[Libellé court type d''action],0),COLUMN(Nomenclature[Classe d''activité de référence]))</f>
        <v>7.3</v>
      </c>
      <c r="AB64" s="12"/>
      <c r="AC64" s="112" t="s">
        <v>533</v>
      </c>
      <c r="AD64" s="12"/>
      <c r="AE64" s="12"/>
      <c r="AF64" s="112" t="s">
        <v>533</v>
      </c>
    </row>
    <row r="65" spans="1:32" ht="55.2" customHeight="1">
      <c r="A65" s="28" t="s">
        <v>494</v>
      </c>
      <c r="B65" s="29" t="s">
        <v>249</v>
      </c>
      <c r="C65" s="101" t="str">
        <f>INDEX(Nomenclature[],MATCH(Actions[[#This Row],[Libellé court Fidji ACT 
(choisir d''abord la famille)]],Nomenclature[Libellé court type d''action],0),2)</f>
        <v>Cartographier les compteurs / sous-compteurs énergie</v>
      </c>
      <c r="D65" s="28" t="s">
        <v>77</v>
      </c>
      <c r="E65" s="7" t="s">
        <v>430</v>
      </c>
      <c r="F65" s="158"/>
      <c r="G65" s="7"/>
      <c r="H65" s="7"/>
      <c r="I65" s="7" t="str" cm="1">
        <f t="array" ref="I65">INDEX(Nomenclature[],MATCH(Actions[[#This Row],[Libellé court Fidji ACT 
(choisir d''abord la famille)]],Nomenclature[Libellé court type d''action],0),COLUMN(Nomenclature[A suivre avec le mainteneur]))</f>
        <v>Mainteneur</v>
      </c>
      <c r="J65" s="7" t="str" cm="1">
        <f t="array" ref="J65">INDEX(Nomenclature[],MATCH(Actions[[#This Row],[Libellé court Fidji ACT 
(choisir d''abord la famille)]],Nomenclature[Libellé court type d''action],0),COLUMN(Nomenclature[A suivre avec le propriétaire]))</f>
        <v xml:space="preserve"> </v>
      </c>
      <c r="K65" s="7"/>
      <c r="L65" s="112" t="s">
        <v>533</v>
      </c>
      <c r="M65" s="7"/>
      <c r="N65" s="7" t="str" cm="1">
        <f t="array" ref="N65">INDEX(Nomenclature[],MATCH(Actions[[#This Row],[Libellé court Fidji ACT 
(choisir d''abord la famille)]],Nomenclature[Libellé court type d''action],0),COLUMN(Nomenclature[Quick win]))</f>
        <v>Quick win</v>
      </c>
      <c r="O65" s="8"/>
      <c r="P65" s="8"/>
      <c r="Q65" s="8"/>
      <c r="R65" s="8"/>
      <c r="S65" s="8"/>
      <c r="T65" s="8"/>
      <c r="U65" s="8"/>
      <c r="V65" s="112" t="s">
        <v>533</v>
      </c>
      <c r="W65" s="11" t="s">
        <v>430</v>
      </c>
      <c r="X65" s="11"/>
      <c r="Y65" s="7"/>
      <c r="Z65" s="7"/>
      <c r="AA65" s="7" t="str" cm="1">
        <f t="array" ref="AA65">INDEX(Nomenclature[],MATCH(Actions[[#This Row],[Libellé court Fidji ACT 
(choisir d''abord la famille)]],Nomenclature[Libellé court type d''action],0),COLUMN(Nomenclature[Classe d''activité de référence]))</f>
        <v>-</v>
      </c>
      <c r="AB65" s="12"/>
      <c r="AC65" s="112" t="s">
        <v>533</v>
      </c>
      <c r="AD65" s="12"/>
      <c r="AE65" s="12"/>
      <c r="AF65" s="112" t="s">
        <v>533</v>
      </c>
    </row>
    <row r="66" spans="1:32" ht="55.2" customHeight="1">
      <c r="A66" s="28" t="s">
        <v>494</v>
      </c>
      <c r="B66" s="29" t="s">
        <v>363</v>
      </c>
      <c r="C66" s="101" t="str">
        <f>INDEX(Nomenclature[],MATCH(Actions[[#This Row],[Libellé court Fidji ACT 
(choisir d''abord la famille)]],Nomenclature[Libellé court type d''action],0),2)</f>
        <v>Mettre en place télérelève / système de management de l'énergie</v>
      </c>
      <c r="D66" s="28" t="s">
        <v>78</v>
      </c>
      <c r="E66" s="7" t="s">
        <v>430</v>
      </c>
      <c r="F66" s="158"/>
      <c r="G66" s="7"/>
      <c r="H66" s="7"/>
      <c r="I66" s="7" t="str" cm="1">
        <f t="array" ref="I66">INDEX(Nomenclature[],MATCH(Actions[[#This Row],[Libellé court Fidji ACT 
(choisir d''abord la famille)]],Nomenclature[Libellé court type d''action],0),COLUMN(Nomenclature[A suivre avec le mainteneur]))</f>
        <v>Mainteneur</v>
      </c>
      <c r="J66" s="7" t="str" cm="1">
        <f t="array" ref="J66">INDEX(Nomenclature[],MATCH(Actions[[#This Row],[Libellé court Fidji ACT 
(choisir d''abord la famille)]],Nomenclature[Libellé court type d''action],0),COLUMN(Nomenclature[A suivre avec le propriétaire]))</f>
        <v xml:space="preserve"> </v>
      </c>
      <c r="K66" s="7"/>
      <c r="L66" s="112" t="s">
        <v>533</v>
      </c>
      <c r="M66" s="7"/>
      <c r="N66" s="7" t="str" cm="1">
        <f t="array" ref="N66">INDEX(Nomenclature[],MATCH(Actions[[#This Row],[Libellé court Fidji ACT 
(choisir d''abord la famille)]],Nomenclature[Libellé court type d''action],0),COLUMN(Nomenclature[Quick win]))</f>
        <v>Rénovation légère</v>
      </c>
      <c r="O66" s="8"/>
      <c r="P66" s="8"/>
      <c r="Q66" s="8"/>
      <c r="R66" s="8"/>
      <c r="S66" s="8"/>
      <c r="T66" s="8"/>
      <c r="U66" s="8"/>
      <c r="V66" s="112" t="s">
        <v>533</v>
      </c>
      <c r="W66" s="11" t="s">
        <v>430</v>
      </c>
      <c r="X66" s="11"/>
      <c r="Y66" s="7"/>
      <c r="Z66" s="7"/>
      <c r="AA66" s="7" t="str" cm="1">
        <f t="array" ref="AA66">INDEX(Nomenclature[],MATCH(Actions[[#This Row],[Libellé court Fidji ACT 
(choisir d''abord la famille)]],Nomenclature[Libellé court type d''action],0),COLUMN(Nomenclature[Classe d''activité de référence]))</f>
        <v>7.5</v>
      </c>
      <c r="AB66" s="12"/>
      <c r="AC66" s="112" t="s">
        <v>533</v>
      </c>
      <c r="AD66" s="12"/>
      <c r="AE66" s="12"/>
      <c r="AF66" s="112" t="s">
        <v>533</v>
      </c>
    </row>
    <row r="67" spans="1:32" ht="55.2" customHeight="1">
      <c r="A67" s="28" t="s">
        <v>494</v>
      </c>
      <c r="B67" s="29" t="s">
        <v>250</v>
      </c>
      <c r="C67" s="101" t="str">
        <f>INDEX(Nomenclature[],MATCH(Actions[[#This Row],[Libellé court Fidji ACT 
(choisir d''abord la famille)]],Nomenclature[Libellé court type d''action],0),2)</f>
        <v>Installer ou remplacer des sous-compteurs énergie</v>
      </c>
      <c r="D67" s="28" t="s">
        <v>79</v>
      </c>
      <c r="E67" s="7" t="s">
        <v>430</v>
      </c>
      <c r="F67" s="158"/>
      <c r="G67" s="7"/>
      <c r="H67" s="7"/>
      <c r="I67" s="7" t="str" cm="1">
        <f t="array" ref="I67">INDEX(Nomenclature[],MATCH(Actions[[#This Row],[Libellé court Fidji ACT 
(choisir d''abord la famille)]],Nomenclature[Libellé court type d''action],0),COLUMN(Nomenclature[A suivre avec le mainteneur]))</f>
        <v>Mainteneur</v>
      </c>
      <c r="J67" s="7" t="str" cm="1">
        <f t="array" ref="J67">INDEX(Nomenclature[],MATCH(Actions[[#This Row],[Libellé court Fidji ACT 
(choisir d''abord la famille)]],Nomenclature[Libellé court type d''action],0),COLUMN(Nomenclature[A suivre avec le propriétaire]))</f>
        <v xml:space="preserve"> </v>
      </c>
      <c r="K67" s="7"/>
      <c r="L67" s="112" t="s">
        <v>533</v>
      </c>
      <c r="M67" s="7"/>
      <c r="N67" s="7" t="str" cm="1">
        <f t="array" ref="N67">INDEX(Nomenclature[],MATCH(Actions[[#This Row],[Libellé court Fidji ACT 
(choisir d''abord la famille)]],Nomenclature[Libellé court type d''action],0),COLUMN(Nomenclature[Quick win]))</f>
        <v>Quick win</v>
      </c>
      <c r="O67" s="8"/>
      <c r="P67" s="8"/>
      <c r="Q67" s="8"/>
      <c r="R67" s="8"/>
      <c r="S67" s="8"/>
      <c r="T67" s="8"/>
      <c r="U67" s="8"/>
      <c r="V67" s="112" t="s">
        <v>533</v>
      </c>
      <c r="W67" s="11" t="s">
        <v>430</v>
      </c>
      <c r="X67" s="11"/>
      <c r="Y67" s="7"/>
      <c r="Z67" s="7"/>
      <c r="AA67" s="7" t="str" cm="1">
        <f t="array" ref="AA67">INDEX(Nomenclature[],MATCH(Actions[[#This Row],[Libellé court Fidji ACT 
(choisir d''abord la famille)]],Nomenclature[Libellé court type d''action],0),COLUMN(Nomenclature[Classe d''activité de référence]))</f>
        <v>7.5</v>
      </c>
      <c r="AB67" s="12"/>
      <c r="AC67" s="112" t="s">
        <v>533</v>
      </c>
      <c r="AD67" s="12"/>
      <c r="AE67" s="12"/>
      <c r="AF67" s="112" t="s">
        <v>533</v>
      </c>
    </row>
    <row r="68" spans="1:32" ht="55.2" customHeight="1">
      <c r="A68" s="28" t="s">
        <v>494</v>
      </c>
      <c r="B68" s="29" t="s">
        <v>251</v>
      </c>
      <c r="C68" s="101" t="str">
        <f>INDEX(Nomenclature[],MATCH(Actions[[#This Row],[Libellé court Fidji ACT 
(choisir d''abord la famille)]],Nomenclature[Libellé court type d''action],0),2)</f>
        <v>Cartographier les compteurs / sous-compteurs eau</v>
      </c>
      <c r="D68" s="28" t="s">
        <v>80</v>
      </c>
      <c r="E68" s="7" t="s">
        <v>430</v>
      </c>
      <c r="F68" s="158"/>
      <c r="G68" s="7"/>
      <c r="H68" s="7"/>
      <c r="I68" s="7" t="str" cm="1">
        <f t="array" ref="I68">INDEX(Nomenclature[],MATCH(Actions[[#This Row],[Libellé court Fidji ACT 
(choisir d''abord la famille)]],Nomenclature[Libellé court type d''action],0),COLUMN(Nomenclature[A suivre avec le mainteneur]))</f>
        <v>Mainteneur</v>
      </c>
      <c r="J68" s="7" t="str" cm="1">
        <f t="array" ref="J68">INDEX(Nomenclature[],MATCH(Actions[[#This Row],[Libellé court Fidji ACT 
(choisir d''abord la famille)]],Nomenclature[Libellé court type d''action],0),COLUMN(Nomenclature[A suivre avec le propriétaire]))</f>
        <v xml:space="preserve"> </v>
      </c>
      <c r="K68" s="7"/>
      <c r="L68" s="112" t="s">
        <v>533</v>
      </c>
      <c r="M68" s="7"/>
      <c r="N68" s="7" t="str" cm="1">
        <f t="array" ref="N68">INDEX(Nomenclature[],MATCH(Actions[[#This Row],[Libellé court Fidji ACT 
(choisir d''abord la famille)]],Nomenclature[Libellé court type d''action],0),COLUMN(Nomenclature[Quick win]))</f>
        <v>Quick win</v>
      </c>
      <c r="O68" s="8"/>
      <c r="P68" s="8"/>
      <c r="Q68" s="8"/>
      <c r="R68" s="8"/>
      <c r="S68" s="8"/>
      <c r="T68" s="8"/>
      <c r="U68" s="8"/>
      <c r="V68" s="112" t="s">
        <v>533</v>
      </c>
      <c r="W68" s="11" t="s">
        <v>430</v>
      </c>
      <c r="X68" s="11"/>
      <c r="Y68" s="7"/>
      <c r="Z68" s="7"/>
      <c r="AA68" s="7" t="str" cm="1">
        <f t="array" ref="AA68">INDEX(Nomenclature[],MATCH(Actions[[#This Row],[Libellé court Fidji ACT 
(choisir d''abord la famille)]],Nomenclature[Libellé court type d''action],0),COLUMN(Nomenclature[Classe d''activité de référence]))</f>
        <v>-</v>
      </c>
      <c r="AB68" s="12"/>
      <c r="AC68" s="112" t="s">
        <v>533</v>
      </c>
      <c r="AD68" s="12"/>
      <c r="AE68" s="12"/>
      <c r="AF68" s="112" t="s">
        <v>533</v>
      </c>
    </row>
    <row r="69" spans="1:32" ht="55.2" customHeight="1">
      <c r="A69" s="28" t="s">
        <v>494</v>
      </c>
      <c r="B69" s="29" t="s">
        <v>364</v>
      </c>
      <c r="C69" s="101" t="str">
        <f>INDEX(Nomenclature[],MATCH(Actions[[#This Row],[Libellé court Fidji ACT 
(choisir d''abord la famille)]],Nomenclature[Libellé court type d''action],0),2)</f>
        <v xml:space="preserve">Mettre en place télérelève / système de management de l’eau </v>
      </c>
      <c r="D69" s="28" t="s">
        <v>81</v>
      </c>
      <c r="E69" s="7" t="s">
        <v>430</v>
      </c>
      <c r="F69" s="158"/>
      <c r="G69" s="7"/>
      <c r="H69" s="7"/>
      <c r="I69" s="7" t="str" cm="1">
        <f t="array" ref="I69">INDEX(Nomenclature[],MATCH(Actions[[#This Row],[Libellé court Fidji ACT 
(choisir d''abord la famille)]],Nomenclature[Libellé court type d''action],0),COLUMN(Nomenclature[A suivre avec le mainteneur]))</f>
        <v>Mainteneur</v>
      </c>
      <c r="J69" s="7" t="str" cm="1">
        <f t="array" ref="J69">INDEX(Nomenclature[],MATCH(Actions[[#This Row],[Libellé court Fidji ACT 
(choisir d''abord la famille)]],Nomenclature[Libellé court type d''action],0),COLUMN(Nomenclature[A suivre avec le propriétaire]))</f>
        <v xml:space="preserve"> </v>
      </c>
      <c r="K69" s="7"/>
      <c r="L69" s="112" t="s">
        <v>533</v>
      </c>
      <c r="M69" s="7"/>
      <c r="N69" s="7" t="str" cm="1">
        <f t="array" ref="N69">INDEX(Nomenclature[],MATCH(Actions[[#This Row],[Libellé court Fidji ACT 
(choisir d''abord la famille)]],Nomenclature[Libellé court type d''action],0),COLUMN(Nomenclature[Quick win]))</f>
        <v>Rénovation légère</v>
      </c>
      <c r="O69" s="8"/>
      <c r="P69" s="8"/>
      <c r="Q69" s="8"/>
      <c r="R69" s="8"/>
      <c r="S69" s="8"/>
      <c r="T69" s="8"/>
      <c r="U69" s="8"/>
      <c r="V69" s="112" t="s">
        <v>533</v>
      </c>
      <c r="W69" s="11" t="s">
        <v>430</v>
      </c>
      <c r="X69" s="11"/>
      <c r="Y69" s="7"/>
      <c r="Z69" s="7"/>
      <c r="AA69" s="7" t="str" cm="1">
        <f t="array" ref="AA69">INDEX(Nomenclature[],MATCH(Actions[[#This Row],[Libellé court Fidji ACT 
(choisir d''abord la famille)]],Nomenclature[Libellé court type d''action],0),COLUMN(Nomenclature[Classe d''activité de référence]))</f>
        <v>4.1</v>
      </c>
      <c r="AB69" s="12"/>
      <c r="AC69" s="112" t="s">
        <v>533</v>
      </c>
      <c r="AD69" s="12"/>
      <c r="AE69" s="12"/>
      <c r="AF69" s="112" t="s">
        <v>533</v>
      </c>
    </row>
    <row r="70" spans="1:32" ht="55.2" customHeight="1">
      <c r="A70" s="28" t="s">
        <v>494</v>
      </c>
      <c r="B70" s="29" t="s">
        <v>252</v>
      </c>
      <c r="C70" s="101" t="str">
        <f>INDEX(Nomenclature[],MATCH(Actions[[#This Row],[Libellé court Fidji ACT 
(choisir d''abord la famille)]],Nomenclature[Libellé court type d''action],0),2)</f>
        <v>Installer ou remplacer des sous-compteurs eau</v>
      </c>
      <c r="D70" s="28" t="s">
        <v>82</v>
      </c>
      <c r="E70" s="7" t="s">
        <v>430</v>
      </c>
      <c r="F70" s="158"/>
      <c r="G70" s="7"/>
      <c r="H70" s="7"/>
      <c r="I70" s="7" t="str" cm="1">
        <f t="array" ref="I70">INDEX(Nomenclature[],MATCH(Actions[[#This Row],[Libellé court Fidji ACT 
(choisir d''abord la famille)]],Nomenclature[Libellé court type d''action],0),COLUMN(Nomenclature[A suivre avec le mainteneur]))</f>
        <v>Mainteneur</v>
      </c>
      <c r="J70" s="7" t="str" cm="1">
        <f t="array" ref="J70">INDEX(Nomenclature[],MATCH(Actions[[#This Row],[Libellé court Fidji ACT 
(choisir d''abord la famille)]],Nomenclature[Libellé court type d''action],0),COLUMN(Nomenclature[A suivre avec le propriétaire]))</f>
        <v xml:space="preserve"> </v>
      </c>
      <c r="K70" s="7"/>
      <c r="L70" s="112" t="s">
        <v>533</v>
      </c>
      <c r="M70" s="7"/>
      <c r="N70" s="7" t="str" cm="1">
        <f t="array" ref="N70">INDEX(Nomenclature[],MATCH(Actions[[#This Row],[Libellé court Fidji ACT 
(choisir d''abord la famille)]],Nomenclature[Libellé court type d''action],0),COLUMN(Nomenclature[Quick win]))</f>
        <v>Quick win</v>
      </c>
      <c r="O70" s="8"/>
      <c r="P70" s="8"/>
      <c r="Q70" s="8"/>
      <c r="R70" s="8"/>
      <c r="S70" s="8"/>
      <c r="T70" s="8"/>
      <c r="U70" s="8"/>
      <c r="V70" s="112" t="s">
        <v>533</v>
      </c>
      <c r="W70" s="11" t="s">
        <v>430</v>
      </c>
      <c r="X70" s="11"/>
      <c r="Y70" s="7"/>
      <c r="Z70" s="7"/>
      <c r="AA70" s="7" t="str" cm="1">
        <f t="array" ref="AA70">INDEX(Nomenclature[],MATCH(Actions[[#This Row],[Libellé court Fidji ACT 
(choisir d''abord la famille)]],Nomenclature[Libellé court type d''action],0),COLUMN(Nomenclature[Classe d''activité de référence]))</f>
        <v>4.1</v>
      </c>
      <c r="AB70" s="12"/>
      <c r="AC70" s="112" t="s">
        <v>533</v>
      </c>
      <c r="AD70" s="12"/>
      <c r="AE70" s="12"/>
      <c r="AF70" s="112" t="s">
        <v>533</v>
      </c>
    </row>
    <row r="71" spans="1:32" ht="55.2" customHeight="1">
      <c r="A71" s="28" t="s">
        <v>84</v>
      </c>
      <c r="B71" s="29" t="s">
        <v>253</v>
      </c>
      <c r="C71" s="101" t="str">
        <f>INDEX(Nomenclature[],MATCH(Actions[[#This Row],[Libellé court Fidji ACT 
(choisir d''abord la famille)]],Nomenclature[Libellé court type d''action],0),2)</f>
        <v xml:space="preserve">Installer / moderniser une GTB avec une classe C a minima selon norme ISO 52120-1:2022 </v>
      </c>
      <c r="D71" s="28" t="s">
        <v>85</v>
      </c>
      <c r="E71" s="7" t="s">
        <v>430</v>
      </c>
      <c r="F71" s="158"/>
      <c r="G71" s="7"/>
      <c r="H71" s="7"/>
      <c r="I71" s="7" t="str" cm="1">
        <f t="array" ref="I71">INDEX(Nomenclature[],MATCH(Actions[[#This Row],[Libellé court Fidji ACT 
(choisir d''abord la famille)]],Nomenclature[Libellé court type d''action],0),COLUMN(Nomenclature[A suivre avec le mainteneur]))</f>
        <v xml:space="preserve"> </v>
      </c>
      <c r="J71" s="7" t="str" cm="1">
        <f t="array" ref="J71">INDEX(Nomenclature[],MATCH(Actions[[#This Row],[Libellé court Fidji ACT 
(choisir d''abord la famille)]],Nomenclature[Libellé court type d''action],0),COLUMN(Nomenclature[A suivre avec le propriétaire]))</f>
        <v>Propriétaire</v>
      </c>
      <c r="K71" s="7"/>
      <c r="L71" s="112" t="s">
        <v>533</v>
      </c>
      <c r="M71" s="7"/>
      <c r="N71" s="7" t="str" cm="1">
        <f t="array" ref="N71">INDEX(Nomenclature[],MATCH(Actions[[#This Row],[Libellé court Fidji ACT 
(choisir d''abord la famille)]],Nomenclature[Libellé court type d''action],0),COLUMN(Nomenclature[Quick win]))</f>
        <v>Rénovation légère</v>
      </c>
      <c r="O71" s="8"/>
      <c r="P71" s="8"/>
      <c r="Q71" s="8"/>
      <c r="R71" s="8"/>
      <c r="S71" s="8"/>
      <c r="T71" s="8"/>
      <c r="U71" s="8"/>
      <c r="V71" s="112" t="s">
        <v>533</v>
      </c>
      <c r="W71" s="11" t="s">
        <v>430</v>
      </c>
      <c r="X71" s="11"/>
      <c r="Y71" s="7"/>
      <c r="Z71" s="7"/>
      <c r="AA71" s="7" t="str" cm="1">
        <f t="array" ref="AA71">INDEX(Nomenclature[],MATCH(Actions[[#This Row],[Libellé court Fidji ACT 
(choisir d''abord la famille)]],Nomenclature[Libellé court type d''action],0),COLUMN(Nomenclature[Classe d''activité de référence]))</f>
        <v>7.5</v>
      </c>
      <c r="AB71" s="12"/>
      <c r="AC71" s="112" t="s">
        <v>533</v>
      </c>
      <c r="AD71" s="12"/>
      <c r="AE71" s="12"/>
      <c r="AF71" s="112" t="s">
        <v>533</v>
      </c>
    </row>
    <row r="72" spans="1:32" ht="55.2" customHeight="1">
      <c r="A72" s="28" t="s">
        <v>84</v>
      </c>
      <c r="B72" s="29" t="s">
        <v>366</v>
      </c>
      <c r="C72" s="101" t="str">
        <f>INDEX(Nomenclature[],MATCH(Actions[[#This Row],[Libellé court Fidji ACT 
(choisir d''abord la famille)]],Nomenclature[Libellé court type d''action],0),2)</f>
        <v>Inspecter régulièrement le bon fonctionnement de la GTB et optimiser son paramétrage</v>
      </c>
      <c r="D72" s="28" t="s">
        <v>86</v>
      </c>
      <c r="E72" s="7" t="s">
        <v>430</v>
      </c>
      <c r="F72" s="158"/>
      <c r="G72" s="7"/>
      <c r="H72" s="7"/>
      <c r="I72" s="7" t="str" cm="1">
        <f t="array" ref="I72">INDEX(Nomenclature[],MATCH(Actions[[#This Row],[Libellé court Fidji ACT 
(choisir d''abord la famille)]],Nomenclature[Libellé court type d''action],0),COLUMN(Nomenclature[A suivre avec le mainteneur]))</f>
        <v>Mainteneur</v>
      </c>
      <c r="J72" s="7" t="str" cm="1">
        <f t="array" ref="J72">INDEX(Nomenclature[],MATCH(Actions[[#This Row],[Libellé court Fidji ACT 
(choisir d''abord la famille)]],Nomenclature[Libellé court type d''action],0),COLUMN(Nomenclature[A suivre avec le propriétaire]))</f>
        <v xml:space="preserve"> </v>
      </c>
      <c r="K72" s="7"/>
      <c r="L72" s="112" t="s">
        <v>533</v>
      </c>
      <c r="M72" s="7"/>
      <c r="N72" s="7" t="str" cm="1">
        <f t="array" ref="N72">INDEX(Nomenclature[],MATCH(Actions[[#This Row],[Libellé court Fidji ACT 
(choisir d''abord la famille)]],Nomenclature[Libellé court type d''action],0),COLUMN(Nomenclature[Quick win]))</f>
        <v>Quick win</v>
      </c>
      <c r="O72" s="8"/>
      <c r="P72" s="8"/>
      <c r="Q72" s="8"/>
      <c r="R72" s="8"/>
      <c r="S72" s="8"/>
      <c r="T72" s="8"/>
      <c r="U72" s="8"/>
      <c r="V72" s="112" t="s">
        <v>533</v>
      </c>
      <c r="W72" s="11" t="s">
        <v>430</v>
      </c>
      <c r="X72" s="11"/>
      <c r="Y72" s="7"/>
      <c r="Z72" s="7"/>
      <c r="AA72" s="7" t="str" cm="1">
        <f t="array" ref="AA72">INDEX(Nomenclature[],MATCH(Actions[[#This Row],[Libellé court Fidji ACT 
(choisir d''abord la famille)]],Nomenclature[Libellé court type d''action],0),COLUMN(Nomenclature[Classe d''activité de référence]))</f>
        <v>-</v>
      </c>
      <c r="AB72" s="12"/>
      <c r="AC72" s="112" t="s">
        <v>533</v>
      </c>
      <c r="AD72" s="12" t="s">
        <v>585</v>
      </c>
      <c r="AE72" s="12"/>
      <c r="AF72" s="112" t="s">
        <v>533</v>
      </c>
    </row>
    <row r="73" spans="1:32" ht="55.2" customHeight="1">
      <c r="A73" s="28" t="s">
        <v>84</v>
      </c>
      <c r="B73" s="29" t="s">
        <v>367</v>
      </c>
      <c r="C73" s="101" t="str">
        <f>INDEX(Nomenclature[],MATCH(Actions[[#This Row],[Libellé court Fidji ACT 
(choisir d''abord la famille)]],Nomenclature[Libellé court type d''action],0),2)</f>
        <v>S’assurer que la GTB intègre un suivi avec historisation des consommations énergétiques</v>
      </c>
      <c r="D73" s="28" t="s">
        <v>87</v>
      </c>
      <c r="E73" s="7" t="s">
        <v>430</v>
      </c>
      <c r="F73" s="158"/>
      <c r="G73" s="7"/>
      <c r="H73" s="7"/>
      <c r="I73" s="7" t="str" cm="1">
        <f t="array" ref="I73">INDEX(Nomenclature[],MATCH(Actions[[#This Row],[Libellé court Fidji ACT 
(choisir d''abord la famille)]],Nomenclature[Libellé court type d''action],0),COLUMN(Nomenclature[A suivre avec le mainteneur]))</f>
        <v>Mainteneur</v>
      </c>
      <c r="J73" s="7" t="str" cm="1">
        <f t="array" ref="J73">INDEX(Nomenclature[],MATCH(Actions[[#This Row],[Libellé court Fidji ACT 
(choisir d''abord la famille)]],Nomenclature[Libellé court type d''action],0),COLUMN(Nomenclature[A suivre avec le propriétaire]))</f>
        <v xml:space="preserve"> </v>
      </c>
      <c r="K73" s="7"/>
      <c r="L73" s="112" t="s">
        <v>533</v>
      </c>
      <c r="M73" s="7"/>
      <c r="N73" s="7" t="str" cm="1">
        <f t="array" ref="N73">INDEX(Nomenclature[],MATCH(Actions[[#This Row],[Libellé court Fidji ACT 
(choisir d''abord la famille)]],Nomenclature[Libellé court type d''action],0),COLUMN(Nomenclature[Quick win]))</f>
        <v>Quick win</v>
      </c>
      <c r="O73" s="8"/>
      <c r="P73" s="8"/>
      <c r="Q73" s="8"/>
      <c r="R73" s="8"/>
      <c r="S73" s="8"/>
      <c r="T73" s="8"/>
      <c r="U73" s="8"/>
      <c r="V73" s="112" t="s">
        <v>533</v>
      </c>
      <c r="W73" s="11" t="s">
        <v>430</v>
      </c>
      <c r="X73" s="11"/>
      <c r="Y73" s="7"/>
      <c r="Z73" s="7"/>
      <c r="AA73" s="7" t="str" cm="1">
        <f t="array" ref="AA73">INDEX(Nomenclature[],MATCH(Actions[[#This Row],[Libellé court Fidji ACT 
(choisir d''abord la famille)]],Nomenclature[Libellé court type d''action],0),COLUMN(Nomenclature[Classe d''activité de référence]))</f>
        <v>7.5</v>
      </c>
      <c r="AB73" s="12"/>
      <c r="AC73" s="112" t="s">
        <v>533</v>
      </c>
      <c r="AD73" s="12"/>
      <c r="AE73" s="12"/>
      <c r="AF73" s="112" t="s">
        <v>533</v>
      </c>
    </row>
    <row r="74" spans="1:32" ht="55.2" customHeight="1">
      <c r="A74" s="28" t="s">
        <v>84</v>
      </c>
      <c r="B74" s="29" t="s">
        <v>368</v>
      </c>
      <c r="C74" s="101" t="str">
        <f>INDEX(Nomenclature[],MATCH(Actions[[#This Row],[Libellé court Fidji ACT 
(choisir d''abord la famille)]],Nomenclature[Libellé court type d''action],0),2)</f>
        <v>Mettre en place un plan de formation sur l’utilisation des équipements connectés à la GTB</v>
      </c>
      <c r="D74" s="28" t="s">
        <v>88</v>
      </c>
      <c r="E74" s="7" t="s">
        <v>430</v>
      </c>
      <c r="F74" s="158"/>
      <c r="G74" s="7"/>
      <c r="H74" s="7"/>
      <c r="I74" s="7" t="str" cm="1">
        <f t="array" ref="I74">INDEX(Nomenclature[],MATCH(Actions[[#This Row],[Libellé court Fidji ACT 
(choisir d''abord la famille)]],Nomenclature[Libellé court type d''action],0),COLUMN(Nomenclature[A suivre avec le mainteneur]))</f>
        <v>Mainteneur</v>
      </c>
      <c r="J74" s="7" t="str" cm="1">
        <f t="array" ref="J74">INDEX(Nomenclature[],MATCH(Actions[[#This Row],[Libellé court Fidji ACT 
(choisir d''abord la famille)]],Nomenclature[Libellé court type d''action],0),COLUMN(Nomenclature[A suivre avec le propriétaire]))</f>
        <v xml:space="preserve"> </v>
      </c>
      <c r="K74" s="7"/>
      <c r="L74" s="112" t="s">
        <v>533</v>
      </c>
      <c r="M74" s="7"/>
      <c r="N74" s="7" t="str" cm="1">
        <f t="array" ref="N74">INDEX(Nomenclature[],MATCH(Actions[[#This Row],[Libellé court Fidji ACT 
(choisir d''abord la famille)]],Nomenclature[Libellé court type d''action],0),COLUMN(Nomenclature[Quick win]))</f>
        <v>Quick win</v>
      </c>
      <c r="O74" s="8"/>
      <c r="P74" s="8"/>
      <c r="Q74" s="8"/>
      <c r="R74" s="8"/>
      <c r="S74" s="8"/>
      <c r="T74" s="8"/>
      <c r="U74" s="8"/>
      <c r="V74" s="112" t="s">
        <v>533</v>
      </c>
      <c r="W74" s="11" t="s">
        <v>430</v>
      </c>
      <c r="X74" s="11"/>
      <c r="Y74" s="7"/>
      <c r="Z74" s="7"/>
      <c r="AA74" s="7" t="str" cm="1">
        <f t="array" ref="AA74">INDEX(Nomenclature[],MATCH(Actions[[#This Row],[Libellé court Fidji ACT 
(choisir d''abord la famille)]],Nomenclature[Libellé court type d''action],0),COLUMN(Nomenclature[Classe d''activité de référence]))</f>
        <v>7.5</v>
      </c>
      <c r="AB74" s="12"/>
      <c r="AC74" s="112" t="s">
        <v>533</v>
      </c>
      <c r="AD74" s="12"/>
      <c r="AE74" s="12"/>
      <c r="AF74" s="112" t="s">
        <v>533</v>
      </c>
    </row>
    <row r="75" spans="1:32" ht="55.2" customHeight="1">
      <c r="A75" s="28" t="s">
        <v>84</v>
      </c>
      <c r="B75" s="29" t="s">
        <v>369</v>
      </c>
      <c r="C75" s="101" t="str">
        <f>INDEX(Nomenclature[],MATCH(Actions[[#This Row],[Libellé court Fidji ACT 
(choisir d''abord la famille)]],Nomenclature[Libellé court type d''action],0),2)</f>
        <v>Mettre en place / tenir à jour le carnet de GTB incluant l’analyse fonctionnelle</v>
      </c>
      <c r="D75" s="28" t="s">
        <v>89</v>
      </c>
      <c r="E75" s="7" t="s">
        <v>430</v>
      </c>
      <c r="F75" s="158"/>
      <c r="G75" s="7"/>
      <c r="H75" s="7"/>
      <c r="I75" s="7" t="str" cm="1">
        <f t="array" ref="I75">INDEX(Nomenclature[],MATCH(Actions[[#This Row],[Libellé court Fidji ACT 
(choisir d''abord la famille)]],Nomenclature[Libellé court type d''action],0),COLUMN(Nomenclature[A suivre avec le mainteneur]))</f>
        <v>Mainteneur</v>
      </c>
      <c r="J75" s="7" t="str" cm="1">
        <f t="array" ref="J75">INDEX(Nomenclature[],MATCH(Actions[[#This Row],[Libellé court Fidji ACT 
(choisir d''abord la famille)]],Nomenclature[Libellé court type d''action],0),COLUMN(Nomenclature[A suivre avec le propriétaire]))</f>
        <v xml:space="preserve"> </v>
      </c>
      <c r="K75" s="7"/>
      <c r="L75" s="112" t="s">
        <v>533</v>
      </c>
      <c r="M75" s="7"/>
      <c r="N75" s="7" t="str" cm="1">
        <f t="array" ref="N75">INDEX(Nomenclature[],MATCH(Actions[[#This Row],[Libellé court Fidji ACT 
(choisir d''abord la famille)]],Nomenclature[Libellé court type d''action],0),COLUMN(Nomenclature[Quick win]))</f>
        <v>Quick win</v>
      </c>
      <c r="O75" s="8"/>
      <c r="P75" s="8"/>
      <c r="Q75" s="8"/>
      <c r="R75" s="8"/>
      <c r="S75" s="8"/>
      <c r="T75" s="8"/>
      <c r="U75" s="8"/>
      <c r="V75" s="112" t="s">
        <v>533</v>
      </c>
      <c r="W75" s="11" t="s">
        <v>430</v>
      </c>
      <c r="X75" s="11"/>
      <c r="Y75" s="7"/>
      <c r="Z75" s="7"/>
      <c r="AA75" s="7" t="str" cm="1">
        <f t="array" ref="AA75">INDEX(Nomenclature[],MATCH(Actions[[#This Row],[Libellé court Fidji ACT 
(choisir d''abord la famille)]],Nomenclature[Libellé court type d''action],0),COLUMN(Nomenclature[Classe d''activité de référence]))</f>
        <v>7.5</v>
      </c>
      <c r="AB75" s="12"/>
      <c r="AC75" s="112" t="s">
        <v>533</v>
      </c>
      <c r="AD75" s="12"/>
      <c r="AE75" s="12"/>
      <c r="AF75" s="112" t="s">
        <v>533</v>
      </c>
    </row>
    <row r="76" spans="1:32" ht="55.2" customHeight="1">
      <c r="A76" s="28" t="s">
        <v>84</v>
      </c>
      <c r="B76" s="29" t="s">
        <v>370</v>
      </c>
      <c r="C76" s="101" t="str">
        <f>INDEX(Nomenclature[],MATCH(Actions[[#This Row],[Libellé court Fidji ACT 
(choisir d''abord la famille)]],Nomenclature[Libellé court type d''action],0),2)</f>
        <v>Vérifier mise à jour des logiciels GTB (sécurité, efficacité énergétique…)</v>
      </c>
      <c r="D76" s="28" t="s">
        <v>90</v>
      </c>
      <c r="E76" s="7" t="s">
        <v>430</v>
      </c>
      <c r="F76" s="158"/>
      <c r="G76" s="7"/>
      <c r="H76" s="7"/>
      <c r="I76" s="7" t="str" cm="1">
        <f t="array" ref="I76">INDEX(Nomenclature[],MATCH(Actions[[#This Row],[Libellé court Fidji ACT 
(choisir d''abord la famille)]],Nomenclature[Libellé court type d''action],0),COLUMN(Nomenclature[A suivre avec le mainteneur]))</f>
        <v>Mainteneur</v>
      </c>
      <c r="J76" s="7" t="str" cm="1">
        <f t="array" ref="J76">INDEX(Nomenclature[],MATCH(Actions[[#This Row],[Libellé court Fidji ACT 
(choisir d''abord la famille)]],Nomenclature[Libellé court type d''action],0),COLUMN(Nomenclature[A suivre avec le propriétaire]))</f>
        <v xml:space="preserve"> </v>
      </c>
      <c r="K76" s="7"/>
      <c r="L76" s="112" t="s">
        <v>533</v>
      </c>
      <c r="M76" s="7"/>
      <c r="N76" s="7" t="str" cm="1">
        <f t="array" ref="N76">INDEX(Nomenclature[],MATCH(Actions[[#This Row],[Libellé court Fidji ACT 
(choisir d''abord la famille)]],Nomenclature[Libellé court type d''action],0),COLUMN(Nomenclature[Quick win]))</f>
        <v>Quick win</v>
      </c>
      <c r="O76" s="8"/>
      <c r="P76" s="8"/>
      <c r="Q76" s="8"/>
      <c r="R76" s="8"/>
      <c r="S76" s="8"/>
      <c r="T76" s="8"/>
      <c r="U76" s="8"/>
      <c r="V76" s="112" t="s">
        <v>533</v>
      </c>
      <c r="W76" s="11" t="s">
        <v>430</v>
      </c>
      <c r="X76" s="11"/>
      <c r="Y76" s="7"/>
      <c r="Z76" s="7"/>
      <c r="AA76" s="7" t="str" cm="1">
        <f t="array" ref="AA76">INDEX(Nomenclature[],MATCH(Actions[[#This Row],[Libellé court Fidji ACT 
(choisir d''abord la famille)]],Nomenclature[Libellé court type d''action],0),COLUMN(Nomenclature[Classe d''activité de référence]))</f>
        <v>7.5</v>
      </c>
      <c r="AB76" s="12"/>
      <c r="AC76" s="112" t="s">
        <v>533</v>
      </c>
      <c r="AD76" s="12"/>
      <c r="AE76" s="12"/>
      <c r="AF76" s="112" t="s">
        <v>533</v>
      </c>
    </row>
    <row r="77" spans="1:32" ht="55.2" customHeight="1">
      <c r="A77" s="28" t="s">
        <v>84</v>
      </c>
      <c r="B77" s="29" t="s">
        <v>371</v>
      </c>
      <c r="C77" s="101" t="str">
        <f>INDEX(Nomenclature[],MATCH(Actions[[#This Row],[Libellé court Fidji ACT 
(choisir d''abord la famille)]],Nomenclature[Libellé court type d''action],0),2)</f>
        <v>Raccorder au BACS les équipements énergivores, y compris ascenseurs, cuisines, IRVE</v>
      </c>
      <c r="D77" s="28" t="s">
        <v>91</v>
      </c>
      <c r="E77" s="7" t="s">
        <v>430</v>
      </c>
      <c r="F77" s="158"/>
      <c r="G77" s="7"/>
      <c r="H77" s="7"/>
      <c r="I77" s="7" t="str" cm="1">
        <f t="array" ref="I77">INDEX(Nomenclature[],MATCH(Actions[[#This Row],[Libellé court Fidji ACT 
(choisir d''abord la famille)]],Nomenclature[Libellé court type d''action],0),COLUMN(Nomenclature[A suivre avec le mainteneur]))</f>
        <v>Mainteneur</v>
      </c>
      <c r="J77" s="7" t="str" cm="1">
        <f t="array" ref="J77">INDEX(Nomenclature[],MATCH(Actions[[#This Row],[Libellé court Fidji ACT 
(choisir d''abord la famille)]],Nomenclature[Libellé court type d''action],0),COLUMN(Nomenclature[A suivre avec le propriétaire]))</f>
        <v xml:space="preserve"> </v>
      </c>
      <c r="K77" s="7"/>
      <c r="L77" s="112" t="s">
        <v>533</v>
      </c>
      <c r="M77" s="7"/>
      <c r="N77" s="7" t="str" cm="1">
        <f t="array" ref="N77">INDEX(Nomenclature[],MATCH(Actions[[#This Row],[Libellé court Fidji ACT 
(choisir d''abord la famille)]],Nomenclature[Libellé court type d''action],0),COLUMN(Nomenclature[Quick win]))</f>
        <v>Rénovation légère</v>
      </c>
      <c r="O77" s="8"/>
      <c r="P77" s="8"/>
      <c r="Q77" s="8"/>
      <c r="R77" s="8"/>
      <c r="S77" s="8"/>
      <c r="T77" s="8"/>
      <c r="U77" s="8"/>
      <c r="V77" s="112" t="s">
        <v>533</v>
      </c>
      <c r="W77" s="11" t="s">
        <v>430</v>
      </c>
      <c r="X77" s="11"/>
      <c r="Y77" s="7"/>
      <c r="Z77" s="7"/>
      <c r="AA77" s="7" t="str" cm="1">
        <f t="array" ref="AA77">INDEX(Nomenclature[],MATCH(Actions[[#This Row],[Libellé court Fidji ACT 
(choisir d''abord la famille)]],Nomenclature[Libellé court type d''action],0),COLUMN(Nomenclature[Classe d''activité de référence]))</f>
        <v>7.5</v>
      </c>
      <c r="AB77" s="12"/>
      <c r="AC77" s="112" t="s">
        <v>533</v>
      </c>
      <c r="AD77" s="12"/>
      <c r="AE77" s="12"/>
      <c r="AF77" s="112" t="s">
        <v>533</v>
      </c>
    </row>
    <row r="78" spans="1:32" ht="55.2" customHeight="1">
      <c r="A78" s="28" t="s">
        <v>84</v>
      </c>
      <c r="B78" s="29" t="s">
        <v>372</v>
      </c>
      <c r="C78" s="101" t="str">
        <f>INDEX(Nomenclature[],MATCH(Actions[[#This Row],[Libellé court Fidji ACT 
(choisir d''abord la famille)]],Nomenclature[Libellé court type d''action],0),2)</f>
        <v>Connecter le BACS à un dispositif de flexibilité du réseau électrique</v>
      </c>
      <c r="D78" s="99" t="s">
        <v>92</v>
      </c>
      <c r="E78" s="7" t="s">
        <v>430</v>
      </c>
      <c r="F78" s="158"/>
      <c r="G78" s="7"/>
      <c r="H78" s="7"/>
      <c r="I78" s="7" t="str" cm="1">
        <f t="array" ref="I78">INDEX(Nomenclature[],MATCH(Actions[[#This Row],[Libellé court Fidji ACT 
(choisir d''abord la famille)]],Nomenclature[Libellé court type d''action],0),COLUMN(Nomenclature[A suivre avec le mainteneur]))</f>
        <v>Mainteneur</v>
      </c>
      <c r="J78" s="7" t="str" cm="1">
        <f t="array" ref="J78">INDEX(Nomenclature[],MATCH(Actions[[#This Row],[Libellé court Fidji ACT 
(choisir d''abord la famille)]],Nomenclature[Libellé court type d''action],0),COLUMN(Nomenclature[A suivre avec le propriétaire]))</f>
        <v xml:space="preserve"> </v>
      </c>
      <c r="K78" s="7"/>
      <c r="L78" s="112" t="s">
        <v>533</v>
      </c>
      <c r="M78" s="7"/>
      <c r="N78" s="7" t="str" cm="1">
        <f t="array" ref="N78">INDEX(Nomenclature[],MATCH(Actions[[#This Row],[Libellé court Fidji ACT 
(choisir d''abord la famille)]],Nomenclature[Libellé court type d''action],0),COLUMN(Nomenclature[Quick win]))</f>
        <v>Rénovation légère</v>
      </c>
      <c r="O78" s="8"/>
      <c r="P78" s="8"/>
      <c r="Q78" s="8"/>
      <c r="R78" s="8"/>
      <c r="S78" s="8"/>
      <c r="T78" s="8"/>
      <c r="U78" s="8"/>
      <c r="V78" s="112" t="s">
        <v>533</v>
      </c>
      <c r="W78" s="11" t="s">
        <v>430</v>
      </c>
      <c r="X78" s="11"/>
      <c r="Y78" s="7"/>
      <c r="Z78" s="7"/>
      <c r="AA78" s="7" t="str" cm="1">
        <f t="array" ref="AA78">INDEX(Nomenclature[],MATCH(Actions[[#This Row],[Libellé court Fidji ACT 
(choisir d''abord la famille)]],Nomenclature[Libellé court type d''action],0),COLUMN(Nomenclature[Classe d''activité de référence]))</f>
        <v>7.5</v>
      </c>
      <c r="AB78" s="12"/>
      <c r="AC78" s="112" t="s">
        <v>533</v>
      </c>
      <c r="AD78" s="12"/>
      <c r="AE78" s="12"/>
      <c r="AF78" s="112" t="s">
        <v>533</v>
      </c>
    </row>
    <row r="79" spans="1:32" ht="55.2" customHeight="1">
      <c r="A79" s="28" t="s">
        <v>84</v>
      </c>
      <c r="B79" s="29" t="s">
        <v>373</v>
      </c>
      <c r="C79" s="101" t="str">
        <f>INDEX(Nomenclature[],MATCH(Actions[[#This Row],[Libellé court Fidji ACT 
(choisir d''abord la famille)]],Nomenclature[Libellé court type d''action],0),2)</f>
        <v>Connecter le BACS à la météo et l’activité prévisionnelle du site pour anticiper les besoins </v>
      </c>
      <c r="D79" s="99" t="s">
        <v>93</v>
      </c>
      <c r="E79" s="7" t="s">
        <v>430</v>
      </c>
      <c r="F79" s="158"/>
      <c r="G79" s="7"/>
      <c r="H79" s="7"/>
      <c r="I79" s="7" t="str" cm="1">
        <f t="array" ref="I79">INDEX(Nomenclature[],MATCH(Actions[[#This Row],[Libellé court Fidji ACT 
(choisir d''abord la famille)]],Nomenclature[Libellé court type d''action],0),COLUMN(Nomenclature[A suivre avec le mainteneur]))</f>
        <v>Mainteneur</v>
      </c>
      <c r="J79" s="7" t="str" cm="1">
        <f t="array" ref="J79">INDEX(Nomenclature[],MATCH(Actions[[#This Row],[Libellé court Fidji ACT 
(choisir d''abord la famille)]],Nomenclature[Libellé court type d''action],0),COLUMN(Nomenclature[A suivre avec le propriétaire]))</f>
        <v xml:space="preserve"> </v>
      </c>
      <c r="K79" s="7"/>
      <c r="L79" s="112" t="s">
        <v>533</v>
      </c>
      <c r="M79" s="7"/>
      <c r="N79" s="7" t="str" cm="1">
        <f t="array" ref="N79">INDEX(Nomenclature[],MATCH(Actions[[#This Row],[Libellé court Fidji ACT 
(choisir d''abord la famille)]],Nomenclature[Libellé court type d''action],0),COLUMN(Nomenclature[Quick win]))</f>
        <v>Rénovation légère</v>
      </c>
      <c r="O79" s="8"/>
      <c r="P79" s="8"/>
      <c r="Q79" s="8"/>
      <c r="R79" s="8"/>
      <c r="S79" s="8"/>
      <c r="T79" s="8"/>
      <c r="U79" s="8"/>
      <c r="V79" s="112" t="s">
        <v>533</v>
      </c>
      <c r="W79" s="11" t="s">
        <v>430</v>
      </c>
      <c r="X79" s="11"/>
      <c r="Y79" s="7"/>
      <c r="Z79" s="7"/>
      <c r="AA79" s="7" t="str" cm="1">
        <f t="array" ref="AA79">INDEX(Nomenclature[],MATCH(Actions[[#This Row],[Libellé court Fidji ACT 
(choisir d''abord la famille)]],Nomenclature[Libellé court type d''action],0),COLUMN(Nomenclature[Classe d''activité de référence]))</f>
        <v>7.5</v>
      </c>
      <c r="AB79" s="12"/>
      <c r="AC79" s="112" t="s">
        <v>533</v>
      </c>
      <c r="AD79" s="12"/>
      <c r="AE79" s="12"/>
      <c r="AF79" s="112" t="s">
        <v>533</v>
      </c>
    </row>
    <row r="80" spans="1:32" ht="55.2" customHeight="1">
      <c r="A80" s="28" t="s">
        <v>95</v>
      </c>
      <c r="B80" s="29" t="s">
        <v>254</v>
      </c>
      <c r="C80" s="101" t="str">
        <f>INDEX(Nomenclature[],MATCH(Actions[[#This Row],[Libellé court Fidji ACT 
(choisir d''abord la famille)]],Nomenclature[Libellé court type d''action],0),2)</f>
        <v>Maximiser remplissage des meubles réfrigérés</v>
      </c>
      <c r="D80" s="99" t="s">
        <v>96</v>
      </c>
      <c r="E80" s="7" t="s">
        <v>430</v>
      </c>
      <c r="F80" s="158"/>
      <c r="G80" s="7"/>
      <c r="H80" s="7"/>
      <c r="I80" s="7" t="str" cm="1">
        <f t="array" ref="I80">INDEX(Nomenclature[],MATCH(Actions[[#This Row],[Libellé court Fidji ACT 
(choisir d''abord la famille)]],Nomenclature[Libellé court type d''action],0),COLUMN(Nomenclature[A suivre avec le mainteneur]))</f>
        <v xml:space="preserve"> </v>
      </c>
      <c r="J80" s="7" t="str" cm="1">
        <f t="array" ref="J80">INDEX(Nomenclature[],MATCH(Actions[[#This Row],[Libellé court Fidji ACT 
(choisir d''abord la famille)]],Nomenclature[Libellé court type d''action],0),COLUMN(Nomenclature[A suivre avec le propriétaire]))</f>
        <v xml:space="preserve"> </v>
      </c>
      <c r="K80" s="7"/>
      <c r="L80" s="112" t="s">
        <v>533</v>
      </c>
      <c r="M80" s="7"/>
      <c r="N80" s="7" t="str" cm="1">
        <f t="array" ref="N80">INDEX(Nomenclature[],MATCH(Actions[[#This Row],[Libellé court Fidji ACT 
(choisir d''abord la famille)]],Nomenclature[Libellé court type d''action],0),COLUMN(Nomenclature[Quick win]))</f>
        <v>Quick win</v>
      </c>
      <c r="O80" s="8"/>
      <c r="P80" s="8"/>
      <c r="Q80" s="8"/>
      <c r="R80" s="8"/>
      <c r="S80" s="8"/>
      <c r="T80" s="8"/>
      <c r="U80" s="8"/>
      <c r="V80" s="112" t="s">
        <v>533</v>
      </c>
      <c r="W80" s="11" t="s">
        <v>430</v>
      </c>
      <c r="X80" s="11"/>
      <c r="Y80" s="7"/>
      <c r="Z80" s="7"/>
      <c r="AA80" s="7" t="str" cm="1">
        <f t="array" ref="AA80">INDEX(Nomenclature[],MATCH(Actions[[#This Row],[Libellé court Fidji ACT 
(choisir d''abord la famille)]],Nomenclature[Libellé court type d''action],0),COLUMN(Nomenclature[Classe d''activité de référence]))</f>
        <v>-</v>
      </c>
      <c r="AB80" s="12"/>
      <c r="AC80" s="112" t="s">
        <v>533</v>
      </c>
      <c r="AD80" s="12"/>
      <c r="AE80" s="12"/>
      <c r="AF80" s="112" t="s">
        <v>533</v>
      </c>
    </row>
    <row r="81" spans="1:32" ht="55.2" customHeight="1">
      <c r="A81" s="28" t="s">
        <v>95</v>
      </c>
      <c r="B81" s="29" t="s">
        <v>255</v>
      </c>
      <c r="C81" s="101" t="str">
        <f>INDEX(Nomenclature[],MATCH(Actions[[#This Row],[Libellé court Fidji ACT 
(choisir d''abord la famille)]],Nomenclature[Libellé court type d''action],0),2)</f>
        <v>Vérifier bon réglage HP BP flottante centrale froid positif ou négatif</v>
      </c>
      <c r="D81" s="99" t="s">
        <v>97</v>
      </c>
      <c r="E81" s="7" t="s">
        <v>430</v>
      </c>
      <c r="F81" s="158"/>
      <c r="G81" s="7"/>
      <c r="H81" s="7"/>
      <c r="I81" s="7" t="str" cm="1">
        <f t="array" ref="I81">INDEX(Nomenclature[],MATCH(Actions[[#This Row],[Libellé court Fidji ACT 
(choisir d''abord la famille)]],Nomenclature[Libellé court type d''action],0),COLUMN(Nomenclature[A suivre avec le mainteneur]))</f>
        <v xml:space="preserve"> </v>
      </c>
      <c r="J81" s="7" t="str" cm="1">
        <f t="array" ref="J81">INDEX(Nomenclature[],MATCH(Actions[[#This Row],[Libellé court Fidji ACT 
(choisir d''abord la famille)]],Nomenclature[Libellé court type d''action],0),COLUMN(Nomenclature[A suivre avec le propriétaire]))</f>
        <v xml:space="preserve"> </v>
      </c>
      <c r="K81" s="7"/>
      <c r="L81" s="112" t="s">
        <v>533</v>
      </c>
      <c r="M81" s="7"/>
      <c r="N81" s="7" t="str" cm="1">
        <f t="array" ref="N81">INDEX(Nomenclature[],MATCH(Actions[[#This Row],[Libellé court Fidji ACT 
(choisir d''abord la famille)]],Nomenclature[Libellé court type d''action],0),COLUMN(Nomenclature[Quick win]))</f>
        <v>Quick win</v>
      </c>
      <c r="O81" s="8"/>
      <c r="P81" s="8"/>
      <c r="Q81" s="8"/>
      <c r="R81" s="8"/>
      <c r="S81" s="8"/>
      <c r="T81" s="8"/>
      <c r="U81" s="8"/>
      <c r="V81" s="112" t="s">
        <v>533</v>
      </c>
      <c r="W81" s="11" t="s">
        <v>430</v>
      </c>
      <c r="X81" s="11"/>
      <c r="Y81" s="7"/>
      <c r="Z81" s="7"/>
      <c r="AA81" s="7" t="str" cm="1">
        <f t="array" ref="AA81">INDEX(Nomenclature[],MATCH(Actions[[#This Row],[Libellé court Fidji ACT 
(choisir d''abord la famille)]],Nomenclature[Libellé court type d''action],0),COLUMN(Nomenclature[Classe d''activité de référence]))</f>
        <v>-</v>
      </c>
      <c r="AB81" s="12"/>
      <c r="AC81" s="112" t="s">
        <v>533</v>
      </c>
      <c r="AD81" s="12"/>
      <c r="AE81" s="12"/>
      <c r="AF81" s="112" t="s">
        <v>533</v>
      </c>
    </row>
    <row r="82" spans="1:32" ht="55.2" customHeight="1">
      <c r="A82" s="28" t="s">
        <v>95</v>
      </c>
      <c r="B82" s="29" t="s">
        <v>256</v>
      </c>
      <c r="C82" s="101" t="str">
        <f>INDEX(Nomenclature[],MATCH(Actions[[#This Row],[Libellé court Fidji ACT 
(choisir d''abord la famille)]],Nomenclature[Libellé court type d''action],0),2)</f>
        <v>Remplacer meubles froid alimentaire en fin de vie</v>
      </c>
      <c r="D82" s="99" t="s">
        <v>98</v>
      </c>
      <c r="E82" s="7" t="s">
        <v>430</v>
      </c>
      <c r="F82" s="158"/>
      <c r="G82" s="7"/>
      <c r="H82" s="7"/>
      <c r="I82" s="7" t="str" cm="1">
        <f t="array" ref="I82">INDEX(Nomenclature[],MATCH(Actions[[#This Row],[Libellé court Fidji ACT 
(choisir d''abord la famille)]],Nomenclature[Libellé court type d''action],0),COLUMN(Nomenclature[A suivre avec le mainteneur]))</f>
        <v xml:space="preserve"> </v>
      </c>
      <c r="J82" s="7" t="str" cm="1">
        <f t="array" ref="J82">INDEX(Nomenclature[],MATCH(Actions[[#This Row],[Libellé court Fidji ACT 
(choisir d''abord la famille)]],Nomenclature[Libellé court type d''action],0),COLUMN(Nomenclature[A suivre avec le propriétaire]))</f>
        <v xml:space="preserve"> </v>
      </c>
      <c r="K82" s="7"/>
      <c r="L82" s="112" t="s">
        <v>533</v>
      </c>
      <c r="M82" s="7"/>
      <c r="N82" s="7" t="str" cm="1">
        <f t="array" ref="N82">INDEX(Nomenclature[],MATCH(Actions[[#This Row],[Libellé court Fidji ACT 
(choisir d''abord la famille)]],Nomenclature[Libellé court type d''action],0),COLUMN(Nomenclature[Quick win]))</f>
        <v>Rénovation légère</v>
      </c>
      <c r="O82" s="8"/>
      <c r="P82" s="8"/>
      <c r="Q82" s="8"/>
      <c r="R82" s="8"/>
      <c r="S82" s="8"/>
      <c r="T82" s="8"/>
      <c r="U82" s="8"/>
      <c r="V82" s="112" t="s">
        <v>533</v>
      </c>
      <c r="W82" s="11" t="s">
        <v>430</v>
      </c>
      <c r="X82" s="11"/>
      <c r="Y82" s="7"/>
      <c r="Z82" s="7"/>
      <c r="AA82" s="7" t="str" cm="1">
        <f t="array" ref="AA82">INDEX(Nomenclature[],MATCH(Actions[[#This Row],[Libellé court Fidji ACT 
(choisir d''abord la famille)]],Nomenclature[Libellé court type d''action],0),COLUMN(Nomenclature[Classe d''activité de référence]))</f>
        <v>7.3</v>
      </c>
      <c r="AB82" s="12"/>
      <c r="AC82" s="112" t="s">
        <v>533</v>
      </c>
      <c r="AD82" s="12"/>
      <c r="AE82" s="12"/>
      <c r="AF82" s="112" t="s">
        <v>533</v>
      </c>
    </row>
    <row r="83" spans="1:32" ht="55.2" customHeight="1">
      <c r="A83" s="28" t="s">
        <v>95</v>
      </c>
      <c r="B83" s="29" t="s">
        <v>257</v>
      </c>
      <c r="C83" s="101" t="str">
        <f>INDEX(Nomenclature[],MATCH(Actions[[#This Row],[Libellé court Fidji ACT 
(choisir d''abord la famille)]],Nomenclature[Libellé court type d''action],0),2)</f>
        <v>Remplacer centrale froid alimentaire en fin de vie</v>
      </c>
      <c r="D83" s="99" t="s">
        <v>99</v>
      </c>
      <c r="E83" s="7" t="s">
        <v>430</v>
      </c>
      <c r="F83" s="158"/>
      <c r="G83" s="7"/>
      <c r="H83" s="7"/>
      <c r="I83" s="7" t="str" cm="1">
        <f t="array" ref="I83">INDEX(Nomenclature[],MATCH(Actions[[#This Row],[Libellé court Fidji ACT 
(choisir d''abord la famille)]],Nomenclature[Libellé court type d''action],0),COLUMN(Nomenclature[A suivre avec le mainteneur]))</f>
        <v xml:space="preserve"> </v>
      </c>
      <c r="J83" s="7" t="str" cm="1">
        <f t="array" ref="J83">INDEX(Nomenclature[],MATCH(Actions[[#This Row],[Libellé court Fidji ACT 
(choisir d''abord la famille)]],Nomenclature[Libellé court type d''action],0),COLUMN(Nomenclature[A suivre avec le propriétaire]))</f>
        <v xml:space="preserve"> </v>
      </c>
      <c r="K83" s="7"/>
      <c r="L83" s="112" t="s">
        <v>533</v>
      </c>
      <c r="M83" s="7"/>
      <c r="N83" s="7" t="str" cm="1">
        <f t="array" ref="N83">INDEX(Nomenclature[],MATCH(Actions[[#This Row],[Libellé court Fidji ACT 
(choisir d''abord la famille)]],Nomenclature[Libellé court type d''action],0),COLUMN(Nomenclature[Quick win]))</f>
        <v>Rénovation légère</v>
      </c>
      <c r="O83" s="8"/>
      <c r="P83" s="8"/>
      <c r="Q83" s="8"/>
      <c r="R83" s="8"/>
      <c r="S83" s="8"/>
      <c r="T83" s="8"/>
      <c r="U83" s="8"/>
      <c r="V83" s="112" t="s">
        <v>533</v>
      </c>
      <c r="W83" s="11" t="s">
        <v>430</v>
      </c>
      <c r="X83" s="11"/>
      <c r="Y83" s="7"/>
      <c r="Z83" s="7"/>
      <c r="AA83" s="7" t="str" cm="1">
        <f t="array" ref="AA83">INDEX(Nomenclature[],MATCH(Actions[[#This Row],[Libellé court Fidji ACT 
(choisir d''abord la famille)]],Nomenclature[Libellé court type d''action],0),COLUMN(Nomenclature[Classe d''activité de référence]))</f>
        <v>7.3</v>
      </c>
      <c r="AB83" s="12"/>
      <c r="AC83" s="112" t="s">
        <v>533</v>
      </c>
      <c r="AD83" s="12"/>
      <c r="AE83" s="12"/>
      <c r="AF83" s="112" t="s">
        <v>533</v>
      </c>
    </row>
    <row r="84" spans="1:32" ht="55.2" customHeight="1">
      <c r="A84" s="28" t="s">
        <v>95</v>
      </c>
      <c r="B84" s="29" t="s">
        <v>258</v>
      </c>
      <c r="C84" s="101" t="str">
        <f>INDEX(Nomenclature[],MATCH(Actions[[#This Row],[Libellé court Fidji ACT 
(choisir d''abord la famille)]],Nomenclature[Libellé court type d''action],0),2)</f>
        <v>Retrofit fluide frigorigène installation froid positif ou négatif</v>
      </c>
      <c r="D84" s="99" t="s">
        <v>100</v>
      </c>
      <c r="E84" s="7" t="s">
        <v>430</v>
      </c>
      <c r="F84" s="158"/>
      <c r="G84" s="7"/>
      <c r="H84" s="7"/>
      <c r="I84" s="7" t="str" cm="1">
        <f t="array" ref="I84">INDEX(Nomenclature[],MATCH(Actions[[#This Row],[Libellé court Fidji ACT 
(choisir d''abord la famille)]],Nomenclature[Libellé court type d''action],0),COLUMN(Nomenclature[A suivre avec le mainteneur]))</f>
        <v xml:space="preserve"> </v>
      </c>
      <c r="J84" s="7" t="str" cm="1">
        <f t="array" ref="J84">INDEX(Nomenclature[],MATCH(Actions[[#This Row],[Libellé court Fidji ACT 
(choisir d''abord la famille)]],Nomenclature[Libellé court type d''action],0),COLUMN(Nomenclature[A suivre avec le propriétaire]))</f>
        <v xml:space="preserve"> </v>
      </c>
      <c r="K84" s="7"/>
      <c r="L84" s="112" t="s">
        <v>533</v>
      </c>
      <c r="M84" s="7"/>
      <c r="N84" s="7" t="str" cm="1">
        <f t="array" ref="N84">INDEX(Nomenclature[],MATCH(Actions[[#This Row],[Libellé court Fidji ACT 
(choisir d''abord la famille)]],Nomenclature[Libellé court type d''action],0),COLUMN(Nomenclature[Quick win]))</f>
        <v>Quick win</v>
      </c>
      <c r="O84" s="8"/>
      <c r="P84" s="8"/>
      <c r="Q84" s="8"/>
      <c r="R84" s="8"/>
      <c r="S84" s="8"/>
      <c r="T84" s="8"/>
      <c r="U84" s="8"/>
      <c r="V84" s="112" t="s">
        <v>533</v>
      </c>
      <c r="W84" s="11" t="s">
        <v>430</v>
      </c>
      <c r="X84" s="11"/>
      <c r="Y84" s="7"/>
      <c r="Z84" s="7"/>
      <c r="AA84" s="7" t="str" cm="1">
        <f t="array" ref="AA84">INDEX(Nomenclature[],MATCH(Actions[[#This Row],[Libellé court Fidji ACT 
(choisir d''abord la famille)]],Nomenclature[Libellé court type d''action],0),COLUMN(Nomenclature[Classe d''activité de référence]))</f>
        <v>7.3</v>
      </c>
      <c r="AB84" s="12"/>
      <c r="AC84" s="112" t="s">
        <v>533</v>
      </c>
      <c r="AD84" s="12"/>
      <c r="AE84" s="12"/>
      <c r="AF84" s="112" t="s">
        <v>533</v>
      </c>
    </row>
    <row r="85" spans="1:32" ht="55.2" customHeight="1">
      <c r="A85" s="28" t="s">
        <v>95</v>
      </c>
      <c r="B85" s="29" t="s">
        <v>259</v>
      </c>
      <c r="C85" s="101" t="str">
        <f>INDEX(Nomenclature[],MATCH(Actions[[#This Row],[Libellé court Fidji ACT 
(choisir d''abord la famille)]],Nomenclature[Libellé court type d''action],0),2)</f>
        <v>Remplacer / Améliorer la GTC froid alimentaire</v>
      </c>
      <c r="D85" s="99" t="s">
        <v>101</v>
      </c>
      <c r="E85" s="7" t="s">
        <v>430</v>
      </c>
      <c r="F85" s="158"/>
      <c r="G85" s="7"/>
      <c r="H85" s="7"/>
      <c r="I85" s="7" t="str" cm="1">
        <f t="array" ref="I85">INDEX(Nomenclature[],MATCH(Actions[[#This Row],[Libellé court Fidji ACT 
(choisir d''abord la famille)]],Nomenclature[Libellé court type d''action],0),COLUMN(Nomenclature[A suivre avec le mainteneur]))</f>
        <v xml:space="preserve"> </v>
      </c>
      <c r="J85" s="7" t="str" cm="1">
        <f t="array" ref="J85">INDEX(Nomenclature[],MATCH(Actions[[#This Row],[Libellé court Fidji ACT 
(choisir d''abord la famille)]],Nomenclature[Libellé court type d''action],0),COLUMN(Nomenclature[A suivre avec le propriétaire]))</f>
        <v xml:space="preserve"> </v>
      </c>
      <c r="K85" s="7"/>
      <c r="L85" s="112" t="s">
        <v>533</v>
      </c>
      <c r="M85" s="7"/>
      <c r="N85" s="7" t="str" cm="1">
        <f t="array" ref="N85">INDEX(Nomenclature[],MATCH(Actions[[#This Row],[Libellé court Fidji ACT 
(choisir d''abord la famille)]],Nomenclature[Libellé court type d''action],0),COLUMN(Nomenclature[Quick win]))</f>
        <v>Quick win</v>
      </c>
      <c r="O85" s="8"/>
      <c r="P85" s="8"/>
      <c r="Q85" s="8"/>
      <c r="R85" s="8"/>
      <c r="S85" s="8"/>
      <c r="T85" s="8"/>
      <c r="U85" s="8"/>
      <c r="V85" s="112" t="s">
        <v>533</v>
      </c>
      <c r="W85" s="11" t="s">
        <v>430</v>
      </c>
      <c r="X85" s="11"/>
      <c r="Y85" s="7"/>
      <c r="Z85" s="7"/>
      <c r="AA85" s="7" t="str" cm="1">
        <f t="array" ref="AA85">INDEX(Nomenclature[],MATCH(Actions[[#This Row],[Libellé court Fidji ACT 
(choisir d''abord la famille)]],Nomenclature[Libellé court type d''action],0),COLUMN(Nomenclature[Classe d''activité de référence]))</f>
        <v>7.3</v>
      </c>
      <c r="AB85" s="12"/>
      <c r="AC85" s="112" t="s">
        <v>533</v>
      </c>
      <c r="AD85" s="12"/>
      <c r="AE85" s="12"/>
      <c r="AF85" s="112" t="s">
        <v>533</v>
      </c>
    </row>
    <row r="86" spans="1:32" ht="55.2" customHeight="1">
      <c r="A86" s="28" t="s">
        <v>95</v>
      </c>
      <c r="B86" s="29" t="s">
        <v>260</v>
      </c>
      <c r="C86" s="101" t="str">
        <f>INDEX(Nomenclature[],MATCH(Actions[[#This Row],[Libellé court Fidji ACT 
(choisir d''abord la famille)]],Nomenclature[Libellé court type d''action],0),2)</f>
        <v>Installer portes performantes sur meubles frigorifiques</v>
      </c>
      <c r="D86" s="99" t="s">
        <v>102</v>
      </c>
      <c r="E86" s="7" t="s">
        <v>430</v>
      </c>
      <c r="F86" s="158"/>
      <c r="G86" s="7"/>
      <c r="H86" s="7"/>
      <c r="I86" s="7" t="str" cm="1">
        <f t="array" ref="I86">INDEX(Nomenclature[],MATCH(Actions[[#This Row],[Libellé court Fidji ACT 
(choisir d''abord la famille)]],Nomenclature[Libellé court type d''action],0),COLUMN(Nomenclature[A suivre avec le mainteneur]))</f>
        <v xml:space="preserve"> </v>
      </c>
      <c r="J86" s="7" t="str" cm="1">
        <f t="array" ref="J86">INDEX(Nomenclature[],MATCH(Actions[[#This Row],[Libellé court Fidji ACT 
(choisir d''abord la famille)]],Nomenclature[Libellé court type d''action],0),COLUMN(Nomenclature[A suivre avec le propriétaire]))</f>
        <v xml:space="preserve"> </v>
      </c>
      <c r="K86" s="7"/>
      <c r="L86" s="112" t="s">
        <v>533</v>
      </c>
      <c r="M86" s="7"/>
      <c r="N86" s="7" t="str" cm="1">
        <f t="array" ref="N86">INDEX(Nomenclature[],MATCH(Actions[[#This Row],[Libellé court Fidji ACT 
(choisir d''abord la famille)]],Nomenclature[Libellé court type d''action],0),COLUMN(Nomenclature[Quick win]))</f>
        <v>Rénovation légère</v>
      </c>
      <c r="O86" s="8"/>
      <c r="P86" s="8"/>
      <c r="Q86" s="8"/>
      <c r="R86" s="8"/>
      <c r="S86" s="8"/>
      <c r="T86" s="8"/>
      <c r="U86" s="8"/>
      <c r="V86" s="112" t="s">
        <v>533</v>
      </c>
      <c r="W86" s="11" t="s">
        <v>430</v>
      </c>
      <c r="X86" s="11"/>
      <c r="Y86" s="7"/>
      <c r="Z86" s="7"/>
      <c r="AA86" s="7" t="str" cm="1">
        <f t="array" ref="AA86">INDEX(Nomenclature[],MATCH(Actions[[#This Row],[Libellé court Fidji ACT 
(choisir d''abord la famille)]],Nomenclature[Libellé court type d''action],0),COLUMN(Nomenclature[Classe d''activité de référence]))</f>
        <v>7.3</v>
      </c>
      <c r="AB86" s="12"/>
      <c r="AC86" s="112" t="s">
        <v>533</v>
      </c>
      <c r="AD86" s="12"/>
      <c r="AE86" s="12"/>
      <c r="AF86" s="112" t="s">
        <v>533</v>
      </c>
    </row>
    <row r="87" spans="1:32" ht="55.2" customHeight="1">
      <c r="A87" s="28" t="s">
        <v>95</v>
      </c>
      <c r="B87" s="29" t="s">
        <v>261</v>
      </c>
      <c r="C87" s="101" t="str">
        <f>INDEX(Nomenclature[],MATCH(Actions[[#This Row],[Libellé court Fidji ACT 
(choisir d''abord la famille)]],Nomenclature[Libellé court type d''action],0),2)</f>
        <v>Récupérer les calories frigo pour un autre usage (ECS, préchauffage, …)</v>
      </c>
      <c r="D87" s="99" t="s">
        <v>103</v>
      </c>
      <c r="E87" s="7" t="s">
        <v>430</v>
      </c>
      <c r="F87" s="158"/>
      <c r="G87" s="7"/>
      <c r="H87" s="7"/>
      <c r="I87" s="7" t="str" cm="1">
        <f t="array" ref="I87">INDEX(Nomenclature[],MATCH(Actions[[#This Row],[Libellé court Fidji ACT 
(choisir d''abord la famille)]],Nomenclature[Libellé court type d''action],0),COLUMN(Nomenclature[A suivre avec le mainteneur]))</f>
        <v xml:space="preserve"> </v>
      </c>
      <c r="J87" s="7" t="str" cm="1">
        <f t="array" ref="J87">INDEX(Nomenclature[],MATCH(Actions[[#This Row],[Libellé court Fidji ACT 
(choisir d''abord la famille)]],Nomenclature[Libellé court type d''action],0),COLUMN(Nomenclature[A suivre avec le propriétaire]))</f>
        <v xml:space="preserve"> </v>
      </c>
      <c r="K87" s="7"/>
      <c r="L87" s="112" t="s">
        <v>533</v>
      </c>
      <c r="M87" s="7"/>
      <c r="N87" s="7" t="str" cm="1">
        <f t="array" ref="N87">INDEX(Nomenclature[],MATCH(Actions[[#This Row],[Libellé court Fidji ACT 
(choisir d''abord la famille)]],Nomenclature[Libellé court type d''action],0),COLUMN(Nomenclature[Quick win]))</f>
        <v>Quick win</v>
      </c>
      <c r="O87" s="8"/>
      <c r="P87" s="8"/>
      <c r="Q87" s="8"/>
      <c r="R87" s="8"/>
      <c r="S87" s="8"/>
      <c r="T87" s="8"/>
      <c r="U87" s="8"/>
      <c r="V87" s="112" t="s">
        <v>533</v>
      </c>
      <c r="W87" s="11" t="s">
        <v>430</v>
      </c>
      <c r="X87" s="11"/>
      <c r="Y87" s="7"/>
      <c r="Z87" s="7"/>
      <c r="AA87" s="7" t="str" cm="1">
        <f t="array" ref="AA87">INDEX(Nomenclature[],MATCH(Actions[[#This Row],[Libellé court Fidji ACT 
(choisir d''abord la famille)]],Nomenclature[Libellé court type d''action],0),COLUMN(Nomenclature[Classe d''activité de référence]))</f>
        <v>7.3</v>
      </c>
      <c r="AB87" s="12"/>
      <c r="AC87" s="112" t="s">
        <v>533</v>
      </c>
      <c r="AD87" s="12"/>
      <c r="AE87" s="12"/>
      <c r="AF87" s="112" t="s">
        <v>533</v>
      </c>
    </row>
    <row r="88" spans="1:32" ht="55.2" customHeight="1">
      <c r="A88" s="28" t="s">
        <v>105</v>
      </c>
      <c r="B88" s="29" t="s">
        <v>263</v>
      </c>
      <c r="C88" s="101" t="str">
        <f>INDEX(Nomenclature[],MATCH(Actions[[#This Row],[Libellé court Fidji ACT 
(choisir d''abord la famille)]],Nomenclature[Libellé court type d''action],0),2)</f>
        <v>Veiller à la fermeture des portes / ouvrants des zones chauffées ou climatisées</v>
      </c>
      <c r="D88" s="99" t="s">
        <v>106</v>
      </c>
      <c r="E88" s="7" t="s">
        <v>430</v>
      </c>
      <c r="F88" s="158"/>
      <c r="G88" s="7"/>
      <c r="H88" s="7"/>
      <c r="I88" s="7" t="str" cm="1">
        <f t="array" ref="I88">INDEX(Nomenclature[],MATCH(Actions[[#This Row],[Libellé court Fidji ACT 
(choisir d''abord la famille)]],Nomenclature[Libellé court type d''action],0),COLUMN(Nomenclature[A suivre avec le mainteneur]))</f>
        <v xml:space="preserve"> </v>
      </c>
      <c r="J88" s="7" t="str" cm="1">
        <f t="array" ref="J88">INDEX(Nomenclature[],MATCH(Actions[[#This Row],[Libellé court Fidji ACT 
(choisir d''abord la famille)]],Nomenclature[Libellé court type d''action],0),COLUMN(Nomenclature[A suivre avec le propriétaire]))</f>
        <v xml:space="preserve"> </v>
      </c>
      <c r="K88" s="7"/>
      <c r="L88" s="112" t="s">
        <v>533</v>
      </c>
      <c r="M88" s="7"/>
      <c r="N88" s="7" t="str" cm="1">
        <f t="array" ref="N88">INDEX(Nomenclature[],MATCH(Actions[[#This Row],[Libellé court Fidji ACT 
(choisir d''abord la famille)]],Nomenclature[Libellé court type d''action],0),COLUMN(Nomenclature[Quick win]))</f>
        <v>Quick win</v>
      </c>
      <c r="O88" s="8"/>
      <c r="P88" s="8"/>
      <c r="Q88" s="8"/>
      <c r="R88" s="8"/>
      <c r="S88" s="8"/>
      <c r="T88" s="8"/>
      <c r="U88" s="8"/>
      <c r="V88" s="112" t="s">
        <v>533</v>
      </c>
      <c r="W88" s="11" t="s">
        <v>430</v>
      </c>
      <c r="X88" s="11"/>
      <c r="Y88" s="7"/>
      <c r="Z88" s="7"/>
      <c r="AA88" s="7" t="str" cm="1">
        <f t="array" ref="AA88">INDEX(Nomenclature[],MATCH(Actions[[#This Row],[Libellé court Fidji ACT 
(choisir d''abord la famille)]],Nomenclature[Libellé court type d''action],0),COLUMN(Nomenclature[Classe d''activité de référence]))</f>
        <v>-</v>
      </c>
      <c r="AB88" s="12"/>
      <c r="AC88" s="112" t="s">
        <v>533</v>
      </c>
      <c r="AD88" s="12"/>
      <c r="AE88" s="12"/>
      <c r="AF88" s="112" t="s">
        <v>533</v>
      </c>
    </row>
    <row r="89" spans="1:32" ht="55.2" customHeight="1">
      <c r="A89" s="28" t="s">
        <v>105</v>
      </c>
      <c r="B89" s="29" t="s">
        <v>375</v>
      </c>
      <c r="C89" s="101" t="str">
        <f>INDEX(Nomenclature[],MATCH(Actions[[#This Row],[Libellé court Fidji ACT 
(choisir d''abord la famille)]],Nomenclature[Libellé court type d''action],0),2)</f>
        <v>Planifier regroupement des personnes présentes sur site dans zones prédéfinies</v>
      </c>
      <c r="D89" s="99" t="s">
        <v>107</v>
      </c>
      <c r="E89" s="7" t="s">
        <v>430</v>
      </c>
      <c r="F89" s="158"/>
      <c r="G89" s="7"/>
      <c r="H89" s="7"/>
      <c r="I89" s="7" t="str" cm="1">
        <f t="array" ref="I89">INDEX(Nomenclature[],MATCH(Actions[[#This Row],[Libellé court Fidji ACT 
(choisir d''abord la famille)]],Nomenclature[Libellé court type d''action],0),COLUMN(Nomenclature[A suivre avec le mainteneur]))</f>
        <v xml:space="preserve"> </v>
      </c>
      <c r="J89" s="7" t="str" cm="1">
        <f t="array" ref="J89">INDEX(Nomenclature[],MATCH(Actions[[#This Row],[Libellé court Fidji ACT 
(choisir d''abord la famille)]],Nomenclature[Libellé court type d''action],0),COLUMN(Nomenclature[A suivre avec le propriétaire]))</f>
        <v xml:space="preserve"> </v>
      </c>
      <c r="K89" s="7"/>
      <c r="L89" s="112" t="s">
        <v>533</v>
      </c>
      <c r="M89" s="7"/>
      <c r="N89" s="7" t="str" cm="1">
        <f t="array" ref="N89">INDEX(Nomenclature[],MATCH(Actions[[#This Row],[Libellé court Fidji ACT 
(choisir d''abord la famille)]],Nomenclature[Libellé court type d''action],0),COLUMN(Nomenclature[Quick win]))</f>
        <v>Quick win</v>
      </c>
      <c r="O89" s="8"/>
      <c r="P89" s="8"/>
      <c r="Q89" s="8"/>
      <c r="R89" s="8"/>
      <c r="S89" s="8"/>
      <c r="T89" s="8"/>
      <c r="U89" s="8"/>
      <c r="V89" s="112" t="s">
        <v>533</v>
      </c>
      <c r="W89" s="11" t="s">
        <v>430</v>
      </c>
      <c r="X89" s="11"/>
      <c r="Y89" s="7"/>
      <c r="Z89" s="7"/>
      <c r="AA89" s="7" t="str" cm="1">
        <f t="array" ref="AA89">INDEX(Nomenclature[],MATCH(Actions[[#This Row],[Libellé court Fidji ACT 
(choisir d''abord la famille)]],Nomenclature[Libellé court type d''action],0),COLUMN(Nomenclature[Classe d''activité de référence]))</f>
        <v>-</v>
      </c>
      <c r="AB89" s="12"/>
      <c r="AC89" s="112" t="s">
        <v>533</v>
      </c>
      <c r="AD89" s="12"/>
      <c r="AE89" s="12"/>
      <c r="AF89" s="112" t="s">
        <v>533</v>
      </c>
    </row>
    <row r="90" spans="1:32" ht="55.2" customHeight="1">
      <c r="A90" s="28" t="s">
        <v>105</v>
      </c>
      <c r="B90" s="29" t="s">
        <v>376</v>
      </c>
      <c r="C90" s="101" t="str">
        <f>INDEX(Nomenclature[],MATCH(Actions[[#This Row],[Libellé court Fidji ACT 
(choisir d''abord la famille)]],Nomenclature[Libellé court type d''action],0),2)</f>
        <v>Organiser l’occupation des espaces du site pour limiter les besoins de chaleur / climatisation</v>
      </c>
      <c r="D90" s="99" t="s">
        <v>108</v>
      </c>
      <c r="E90" s="7" t="s">
        <v>430</v>
      </c>
      <c r="F90" s="158"/>
      <c r="G90" s="7"/>
      <c r="H90" s="7"/>
      <c r="I90" s="7" t="str" cm="1">
        <f t="array" ref="I90">INDEX(Nomenclature[],MATCH(Actions[[#This Row],[Libellé court Fidji ACT 
(choisir d''abord la famille)]],Nomenclature[Libellé court type d''action],0),COLUMN(Nomenclature[A suivre avec le mainteneur]))</f>
        <v xml:space="preserve"> </v>
      </c>
      <c r="J90" s="7" t="str" cm="1">
        <f t="array" ref="J90">INDEX(Nomenclature[],MATCH(Actions[[#This Row],[Libellé court Fidji ACT 
(choisir d''abord la famille)]],Nomenclature[Libellé court type d''action],0),COLUMN(Nomenclature[A suivre avec le propriétaire]))</f>
        <v xml:space="preserve"> </v>
      </c>
      <c r="K90" s="7"/>
      <c r="L90" s="112" t="s">
        <v>533</v>
      </c>
      <c r="M90" s="7"/>
      <c r="N90" s="7" t="str" cm="1">
        <f t="array" ref="N90">INDEX(Nomenclature[],MATCH(Actions[[#This Row],[Libellé court Fidji ACT 
(choisir d''abord la famille)]],Nomenclature[Libellé court type d''action],0),COLUMN(Nomenclature[Quick win]))</f>
        <v>Quick win</v>
      </c>
      <c r="O90" s="8"/>
      <c r="P90" s="8"/>
      <c r="Q90" s="8"/>
      <c r="R90" s="8"/>
      <c r="S90" s="8"/>
      <c r="T90" s="8"/>
      <c r="U90" s="8"/>
      <c r="V90" s="112" t="s">
        <v>533</v>
      </c>
      <c r="W90" s="11" t="s">
        <v>430</v>
      </c>
      <c r="X90" s="11"/>
      <c r="Y90" s="7"/>
      <c r="Z90" s="7"/>
      <c r="AA90" s="7" t="str" cm="1">
        <f t="array" ref="AA90">INDEX(Nomenclature[],MATCH(Actions[[#This Row],[Libellé court Fidji ACT 
(choisir d''abord la famille)]],Nomenclature[Libellé court type d''action],0),COLUMN(Nomenclature[Classe d''activité de référence]))</f>
        <v>-</v>
      </c>
      <c r="AB90" s="12"/>
      <c r="AC90" s="112" t="s">
        <v>533</v>
      </c>
      <c r="AD90" s="12"/>
      <c r="AE90" s="12"/>
      <c r="AF90" s="112" t="s">
        <v>533</v>
      </c>
    </row>
    <row r="91" spans="1:32" ht="55.2" customHeight="1">
      <c r="A91" s="28" t="s">
        <v>105</v>
      </c>
      <c r="B91" s="29" t="s">
        <v>377</v>
      </c>
      <c r="C91" s="101" t="str">
        <f>INDEX(Nomenclature[],MATCH(Actions[[#This Row],[Libellé court Fidji ACT 
(choisir d''abord la famille)]],Nomenclature[Libellé court type d''action],0),2)</f>
        <v>Mettre en sommeil tout ou partie du site en définissant des plages de fermeture</v>
      </c>
      <c r="D91" s="99" t="s">
        <v>109</v>
      </c>
      <c r="E91" s="7" t="s">
        <v>430</v>
      </c>
      <c r="F91" s="158"/>
      <c r="G91" s="7"/>
      <c r="H91" s="7"/>
      <c r="I91" s="7" t="str" cm="1">
        <f t="array" ref="I91">INDEX(Nomenclature[],MATCH(Actions[[#This Row],[Libellé court Fidji ACT 
(choisir d''abord la famille)]],Nomenclature[Libellé court type d''action],0),COLUMN(Nomenclature[A suivre avec le mainteneur]))</f>
        <v xml:space="preserve"> </v>
      </c>
      <c r="J91" s="7" t="str" cm="1">
        <f t="array" ref="J91">INDEX(Nomenclature[],MATCH(Actions[[#This Row],[Libellé court Fidji ACT 
(choisir d''abord la famille)]],Nomenclature[Libellé court type d''action],0),COLUMN(Nomenclature[A suivre avec le propriétaire]))</f>
        <v xml:space="preserve"> </v>
      </c>
      <c r="K91" s="7"/>
      <c r="L91" s="112" t="s">
        <v>533</v>
      </c>
      <c r="M91" s="7"/>
      <c r="N91" s="7" t="str" cm="1">
        <f t="array" ref="N91">INDEX(Nomenclature[],MATCH(Actions[[#This Row],[Libellé court Fidji ACT 
(choisir d''abord la famille)]],Nomenclature[Libellé court type d''action],0),COLUMN(Nomenclature[Quick win]))</f>
        <v>Quick win</v>
      </c>
      <c r="O91" s="8"/>
      <c r="P91" s="8"/>
      <c r="Q91" s="8"/>
      <c r="R91" s="8"/>
      <c r="S91" s="8"/>
      <c r="T91" s="8"/>
      <c r="U91" s="8"/>
      <c r="V91" s="112" t="s">
        <v>533</v>
      </c>
      <c r="W91" s="11" t="s">
        <v>430</v>
      </c>
      <c r="X91" s="11"/>
      <c r="Y91" s="7"/>
      <c r="Z91" s="7"/>
      <c r="AA91" s="7" t="str" cm="1">
        <f t="array" ref="AA91">INDEX(Nomenclature[],MATCH(Actions[[#This Row],[Libellé court Fidji ACT 
(choisir d''abord la famille)]],Nomenclature[Libellé court type d''action],0),COLUMN(Nomenclature[Classe d''activité de référence]))</f>
        <v>-</v>
      </c>
      <c r="AB91" s="12"/>
      <c r="AC91" s="112" t="s">
        <v>533</v>
      </c>
      <c r="AD91" s="12"/>
      <c r="AE91" s="12"/>
      <c r="AF91" s="112" t="s">
        <v>533</v>
      </c>
    </row>
    <row r="92" spans="1:32" ht="55.2" customHeight="1">
      <c r="A92" s="28" t="s">
        <v>105</v>
      </c>
      <c r="B92" s="29" t="s">
        <v>264</v>
      </c>
      <c r="C92" s="101" t="str">
        <f>INDEX(Nomenclature[],MATCH(Actions[[#This Row],[Libellé court Fidji ACT 
(choisir d''abord la famille)]],Nomenclature[Libellé court type d''action],0),2)</f>
        <v>Animer un comité avec toutes les parties prenantes pour définir et suivre un plan d’action</v>
      </c>
      <c r="D92" s="99" t="s">
        <v>110</v>
      </c>
      <c r="E92" s="7" t="s">
        <v>430</v>
      </c>
      <c r="F92" s="158"/>
      <c r="G92" s="7"/>
      <c r="H92" s="7"/>
      <c r="I92" s="7" t="str" cm="1">
        <f t="array" ref="I92">INDEX(Nomenclature[],MATCH(Actions[[#This Row],[Libellé court Fidji ACT 
(choisir d''abord la famille)]],Nomenclature[Libellé court type d''action],0),COLUMN(Nomenclature[A suivre avec le mainteneur]))</f>
        <v xml:space="preserve"> </v>
      </c>
      <c r="J92" s="7" t="str" cm="1">
        <f t="array" ref="J92">INDEX(Nomenclature[],MATCH(Actions[[#This Row],[Libellé court Fidji ACT 
(choisir d''abord la famille)]],Nomenclature[Libellé court type d''action],0),COLUMN(Nomenclature[A suivre avec le propriétaire]))</f>
        <v xml:space="preserve"> </v>
      </c>
      <c r="K92" s="7"/>
      <c r="L92" s="112" t="s">
        <v>533</v>
      </c>
      <c r="M92" s="7"/>
      <c r="N92" s="7" t="str" cm="1">
        <f t="array" ref="N92">INDEX(Nomenclature[],MATCH(Actions[[#This Row],[Libellé court Fidji ACT 
(choisir d''abord la famille)]],Nomenclature[Libellé court type d''action],0),COLUMN(Nomenclature[Quick win]))</f>
        <v>Quick win</v>
      </c>
      <c r="O92" s="8"/>
      <c r="P92" s="8"/>
      <c r="Q92" s="8"/>
      <c r="R92" s="8"/>
      <c r="S92" s="8"/>
      <c r="T92" s="8"/>
      <c r="U92" s="8"/>
      <c r="V92" s="112" t="s">
        <v>533</v>
      </c>
      <c r="W92" s="11" t="s">
        <v>430</v>
      </c>
      <c r="X92" s="11"/>
      <c r="Y92" s="7"/>
      <c r="Z92" s="7"/>
      <c r="AA92" s="7" t="str" cm="1">
        <f t="array" ref="AA92">INDEX(Nomenclature[],MATCH(Actions[[#This Row],[Libellé court Fidji ACT 
(choisir d''abord la famille)]],Nomenclature[Libellé court type d''action],0),COLUMN(Nomenclature[Classe d''activité de référence]))</f>
        <v>-</v>
      </c>
      <c r="AB92" s="12"/>
      <c r="AC92" s="112" t="s">
        <v>533</v>
      </c>
      <c r="AD92" s="12"/>
      <c r="AE92" s="12"/>
      <c r="AF92" s="112" t="s">
        <v>533</v>
      </c>
    </row>
    <row r="93" spans="1:32" ht="55.2" customHeight="1">
      <c r="A93" s="28" t="s">
        <v>105</v>
      </c>
      <c r="B93" s="29" t="s">
        <v>265</v>
      </c>
      <c r="C93" s="101" t="str">
        <f>INDEX(Nomenclature[],MATCH(Actions[[#This Row],[Libellé court Fidji ACT 
(choisir d''abord la famille)]],Nomenclature[Libellé court type d''action],0),2)</f>
        <v>Désigner 1 référent - ou 1 équipe pluridisciplinaire - en charge du plan d’action</v>
      </c>
      <c r="D93" s="99" t="s">
        <v>111</v>
      </c>
      <c r="E93" s="7" t="s">
        <v>430</v>
      </c>
      <c r="F93" s="158"/>
      <c r="G93" s="7"/>
      <c r="H93" s="7"/>
      <c r="I93" s="7" t="str" cm="1">
        <f t="array" ref="I93">INDEX(Nomenclature[],MATCH(Actions[[#This Row],[Libellé court Fidji ACT 
(choisir d''abord la famille)]],Nomenclature[Libellé court type d''action],0),COLUMN(Nomenclature[A suivre avec le mainteneur]))</f>
        <v xml:space="preserve"> </v>
      </c>
      <c r="J93" s="7" t="str" cm="1">
        <f t="array" ref="J93">INDEX(Nomenclature[],MATCH(Actions[[#This Row],[Libellé court Fidji ACT 
(choisir d''abord la famille)]],Nomenclature[Libellé court type d''action],0),COLUMN(Nomenclature[A suivre avec le propriétaire]))</f>
        <v xml:space="preserve"> </v>
      </c>
      <c r="K93" s="7"/>
      <c r="L93" s="112" t="s">
        <v>533</v>
      </c>
      <c r="M93" s="7"/>
      <c r="N93" s="7" t="str" cm="1">
        <f t="array" ref="N93">INDEX(Nomenclature[],MATCH(Actions[[#This Row],[Libellé court Fidji ACT 
(choisir d''abord la famille)]],Nomenclature[Libellé court type d''action],0),COLUMN(Nomenclature[Quick win]))</f>
        <v>Quick win</v>
      </c>
      <c r="O93" s="8"/>
      <c r="P93" s="8"/>
      <c r="Q93" s="8"/>
      <c r="R93" s="8"/>
      <c r="S93" s="8"/>
      <c r="T93" s="8"/>
      <c r="U93" s="8"/>
      <c r="V93" s="112" t="s">
        <v>533</v>
      </c>
      <c r="W93" s="11" t="s">
        <v>430</v>
      </c>
      <c r="X93" s="11"/>
      <c r="Y93" s="7"/>
      <c r="Z93" s="7"/>
      <c r="AA93" s="7" t="str" cm="1">
        <f t="array" ref="AA93">INDEX(Nomenclature[],MATCH(Actions[[#This Row],[Libellé court Fidji ACT 
(choisir d''abord la famille)]],Nomenclature[Libellé court type d''action],0),COLUMN(Nomenclature[Classe d''activité de référence]))</f>
        <v>-</v>
      </c>
      <c r="AB93" s="12"/>
      <c r="AC93" s="112" t="s">
        <v>533</v>
      </c>
      <c r="AD93" s="12"/>
      <c r="AE93" s="12"/>
      <c r="AF93" s="112" t="s">
        <v>533</v>
      </c>
    </row>
    <row r="94" spans="1:32" ht="55.2" customHeight="1">
      <c r="A94" s="28" t="s">
        <v>105</v>
      </c>
      <c r="B94" s="29" t="s">
        <v>378</v>
      </c>
      <c r="C94" s="101" t="str">
        <f>INDEX(Nomenclature[],MATCH(Actions[[#This Row],[Libellé court Fidji ACT 
(choisir d''abord la famille)]],Nomenclature[Libellé court type d''action],0),2)</f>
        <v>Communiquer sur nouveaux réglages afin d’en favoriser l’acceptation et motiver les efforts</v>
      </c>
      <c r="D94" s="99" t="s">
        <v>112</v>
      </c>
      <c r="E94" s="7" t="s">
        <v>430</v>
      </c>
      <c r="F94" s="158"/>
      <c r="G94" s="7"/>
      <c r="H94" s="7"/>
      <c r="I94" s="7" t="str" cm="1">
        <f t="array" ref="I94">INDEX(Nomenclature[],MATCH(Actions[[#This Row],[Libellé court Fidji ACT 
(choisir d''abord la famille)]],Nomenclature[Libellé court type d''action],0),COLUMN(Nomenclature[A suivre avec le mainteneur]))</f>
        <v xml:space="preserve"> </v>
      </c>
      <c r="J94" s="7" t="str" cm="1">
        <f t="array" ref="J94">INDEX(Nomenclature[],MATCH(Actions[[#This Row],[Libellé court Fidji ACT 
(choisir d''abord la famille)]],Nomenclature[Libellé court type d''action],0),COLUMN(Nomenclature[A suivre avec le propriétaire]))</f>
        <v xml:space="preserve"> </v>
      </c>
      <c r="K94" s="7"/>
      <c r="L94" s="112" t="s">
        <v>533</v>
      </c>
      <c r="M94" s="7"/>
      <c r="N94" s="7" t="str" cm="1">
        <f t="array" ref="N94">INDEX(Nomenclature[],MATCH(Actions[[#This Row],[Libellé court Fidji ACT 
(choisir d''abord la famille)]],Nomenclature[Libellé court type d''action],0),COLUMN(Nomenclature[Quick win]))</f>
        <v>Quick win</v>
      </c>
      <c r="O94" s="8"/>
      <c r="P94" s="8"/>
      <c r="Q94" s="8"/>
      <c r="R94" s="8"/>
      <c r="S94" s="8"/>
      <c r="T94" s="8"/>
      <c r="U94" s="8"/>
      <c r="V94" s="112" t="s">
        <v>533</v>
      </c>
      <c r="W94" s="11" t="s">
        <v>430</v>
      </c>
      <c r="X94" s="11"/>
      <c r="Y94" s="7"/>
      <c r="Z94" s="7"/>
      <c r="AA94" s="7" t="str" cm="1">
        <f t="array" ref="AA94">INDEX(Nomenclature[],MATCH(Actions[[#This Row],[Libellé court Fidji ACT 
(choisir d''abord la famille)]],Nomenclature[Libellé court type d''action],0),COLUMN(Nomenclature[Classe d''activité de référence]))</f>
        <v>-</v>
      </c>
      <c r="AB94" s="12"/>
      <c r="AC94" s="112" t="s">
        <v>533</v>
      </c>
      <c r="AD94" s="12"/>
      <c r="AE94" s="12"/>
      <c r="AF94" s="112" t="s">
        <v>533</v>
      </c>
    </row>
    <row r="95" spans="1:32" ht="55.2" customHeight="1">
      <c r="A95" s="28" t="s">
        <v>105</v>
      </c>
      <c r="B95" s="29" t="s">
        <v>266</v>
      </c>
      <c r="C95" s="101" t="str">
        <f>INDEX(Nomenclature[],MATCH(Actions[[#This Row],[Libellé court Fidji ACT 
(choisir d''abord la famille)]],Nomenclature[Libellé court type d''action],0),2)</f>
        <v>Rendre ludique l’effort commun, par exemple sous forme de jeu participatif</v>
      </c>
      <c r="D95" s="99" t="s">
        <v>113</v>
      </c>
      <c r="E95" s="7" t="s">
        <v>430</v>
      </c>
      <c r="F95" s="158"/>
      <c r="G95" s="7"/>
      <c r="H95" s="7"/>
      <c r="I95" s="7" t="str" cm="1">
        <f t="array" ref="I95">INDEX(Nomenclature[],MATCH(Actions[[#This Row],[Libellé court Fidji ACT 
(choisir d''abord la famille)]],Nomenclature[Libellé court type d''action],0),COLUMN(Nomenclature[A suivre avec le mainteneur]))</f>
        <v xml:space="preserve"> </v>
      </c>
      <c r="J95" s="7" t="str" cm="1">
        <f t="array" ref="J95">INDEX(Nomenclature[],MATCH(Actions[[#This Row],[Libellé court Fidji ACT 
(choisir d''abord la famille)]],Nomenclature[Libellé court type d''action],0),COLUMN(Nomenclature[A suivre avec le propriétaire]))</f>
        <v xml:space="preserve"> </v>
      </c>
      <c r="K95" s="7"/>
      <c r="L95" s="112" t="s">
        <v>533</v>
      </c>
      <c r="M95" s="7"/>
      <c r="N95" s="7" t="str" cm="1">
        <f t="array" ref="N95">INDEX(Nomenclature[],MATCH(Actions[[#This Row],[Libellé court Fidji ACT 
(choisir d''abord la famille)]],Nomenclature[Libellé court type d''action],0),COLUMN(Nomenclature[Quick win]))</f>
        <v>Quick win</v>
      </c>
      <c r="O95" s="8"/>
      <c r="P95" s="8"/>
      <c r="Q95" s="8"/>
      <c r="R95" s="8"/>
      <c r="S95" s="8"/>
      <c r="T95" s="8"/>
      <c r="U95" s="8"/>
      <c r="V95" s="112" t="s">
        <v>533</v>
      </c>
      <c r="W95" s="11" t="s">
        <v>430</v>
      </c>
      <c r="X95" s="11"/>
      <c r="Y95" s="7"/>
      <c r="Z95" s="7"/>
      <c r="AA95" s="7" t="str" cm="1">
        <f t="array" ref="AA95">INDEX(Nomenclature[],MATCH(Actions[[#This Row],[Libellé court Fidji ACT 
(choisir d''abord la famille)]],Nomenclature[Libellé court type d''action],0),COLUMN(Nomenclature[Classe d''activité de référence]))</f>
        <v>-</v>
      </c>
      <c r="AB95" s="12"/>
      <c r="AC95" s="112" t="s">
        <v>533</v>
      </c>
      <c r="AD95" s="12"/>
      <c r="AE95" s="12"/>
      <c r="AF95" s="112" t="s">
        <v>533</v>
      </c>
    </row>
    <row r="96" spans="1:32" ht="55.2" customHeight="1">
      <c r="A96" s="28" t="s">
        <v>105</v>
      </c>
      <c r="B96" s="29" t="s">
        <v>267</v>
      </c>
      <c r="C96" s="101" t="str">
        <f>INDEX(Nomenclature[],MATCH(Actions[[#This Row],[Libellé court Fidji ACT 
(choisir d''abord la famille)]],Nomenclature[Libellé court type d''action],0),2)</f>
        <v>Sensibiliser aux écogestes, notamment pour réduire appels de P. en période tension réseau</v>
      </c>
      <c r="D96" s="99" t="s">
        <v>114</v>
      </c>
      <c r="E96" s="7" t="s">
        <v>430</v>
      </c>
      <c r="F96" s="158"/>
      <c r="G96" s="7"/>
      <c r="H96" s="7"/>
      <c r="I96" s="7" t="str" cm="1">
        <f t="array" ref="I96">INDEX(Nomenclature[],MATCH(Actions[[#This Row],[Libellé court Fidji ACT 
(choisir d''abord la famille)]],Nomenclature[Libellé court type d''action],0),COLUMN(Nomenclature[A suivre avec le mainteneur]))</f>
        <v xml:space="preserve"> </v>
      </c>
      <c r="J96" s="7" t="str" cm="1">
        <f t="array" ref="J96">INDEX(Nomenclature[],MATCH(Actions[[#This Row],[Libellé court Fidji ACT 
(choisir d''abord la famille)]],Nomenclature[Libellé court type d''action],0),COLUMN(Nomenclature[A suivre avec le propriétaire]))</f>
        <v xml:space="preserve"> </v>
      </c>
      <c r="K96" s="7"/>
      <c r="L96" s="112" t="s">
        <v>533</v>
      </c>
      <c r="M96" s="7"/>
      <c r="N96" s="7" t="str" cm="1">
        <f t="array" ref="N96">INDEX(Nomenclature[],MATCH(Actions[[#This Row],[Libellé court Fidji ACT 
(choisir d''abord la famille)]],Nomenclature[Libellé court type d''action],0),COLUMN(Nomenclature[Quick win]))</f>
        <v>Quick win</v>
      </c>
      <c r="O96" s="8"/>
      <c r="P96" s="8"/>
      <c r="Q96" s="8"/>
      <c r="R96" s="8"/>
      <c r="S96" s="8"/>
      <c r="T96" s="8"/>
      <c r="U96" s="8"/>
      <c r="V96" s="112" t="s">
        <v>533</v>
      </c>
      <c r="W96" s="11" t="s">
        <v>430</v>
      </c>
      <c r="X96" s="11"/>
      <c r="Y96" s="7"/>
      <c r="Z96" s="7"/>
      <c r="AA96" s="7" t="str" cm="1">
        <f t="array" ref="AA96">INDEX(Nomenclature[],MATCH(Actions[[#This Row],[Libellé court Fidji ACT 
(choisir d''abord la famille)]],Nomenclature[Libellé court type d''action],0),COLUMN(Nomenclature[Classe d''activité de référence]))</f>
        <v>-</v>
      </c>
      <c r="AB96" s="12"/>
      <c r="AC96" s="112" t="s">
        <v>533</v>
      </c>
      <c r="AD96" s="12"/>
      <c r="AE96" s="12"/>
      <c r="AF96" s="112" t="s">
        <v>533</v>
      </c>
    </row>
    <row r="97" spans="1:32" ht="55.2" customHeight="1">
      <c r="A97" s="28" t="s">
        <v>116</v>
      </c>
      <c r="B97" s="29" t="s">
        <v>268</v>
      </c>
      <c r="C97" s="101" t="str">
        <f>INDEX(Nomenclature[],MATCH(Actions[[#This Row],[Libellé court Fidji ACT 
(choisir d''abord la famille)]],Nomenclature[Libellé court type d''action],0),2)</f>
        <v>Augmenter le % EnR garantie d’origine dans le contrat fourniture énergie</v>
      </c>
      <c r="D97" s="99" t="s">
        <v>117</v>
      </c>
      <c r="E97" s="7" t="s">
        <v>430</v>
      </c>
      <c r="F97" s="158"/>
      <c r="G97" s="7"/>
      <c r="H97" s="7"/>
      <c r="I97" s="7" t="str" cm="1">
        <f t="array" ref="I97">INDEX(Nomenclature[],MATCH(Actions[[#This Row],[Libellé court Fidji ACT 
(choisir d''abord la famille)]],Nomenclature[Libellé court type d''action],0),COLUMN(Nomenclature[A suivre avec le mainteneur]))</f>
        <v xml:space="preserve"> </v>
      </c>
      <c r="J97" s="7" t="str" cm="1">
        <f t="array" ref="J97">INDEX(Nomenclature[],MATCH(Actions[[#This Row],[Libellé court Fidji ACT 
(choisir d''abord la famille)]],Nomenclature[Libellé court type d''action],0),COLUMN(Nomenclature[A suivre avec le propriétaire]))</f>
        <v xml:space="preserve"> </v>
      </c>
      <c r="K97" s="7"/>
      <c r="L97" s="112" t="s">
        <v>533</v>
      </c>
      <c r="M97" s="7"/>
      <c r="N97" s="7" t="str" cm="1">
        <f t="array" ref="N97">INDEX(Nomenclature[],MATCH(Actions[[#This Row],[Libellé court Fidji ACT 
(choisir d''abord la famille)]],Nomenclature[Libellé court type d''action],0),COLUMN(Nomenclature[Quick win]))</f>
        <v>Quick win</v>
      </c>
      <c r="O97" s="8"/>
      <c r="P97" s="8"/>
      <c r="Q97" s="8"/>
      <c r="R97" s="8"/>
      <c r="S97" s="8"/>
      <c r="T97" s="8"/>
      <c r="U97" s="8"/>
      <c r="V97" s="112" t="s">
        <v>533</v>
      </c>
      <c r="W97" s="11" t="s">
        <v>430</v>
      </c>
      <c r="X97" s="11"/>
      <c r="Y97" s="7"/>
      <c r="Z97" s="7"/>
      <c r="AA97" s="7" t="str" cm="1">
        <f t="array" ref="AA97">INDEX(Nomenclature[],MATCH(Actions[[#This Row],[Libellé court Fidji ACT 
(choisir d''abord la famille)]],Nomenclature[Libellé court type d''action],0),COLUMN(Nomenclature[Classe d''activité de référence]))</f>
        <v>-</v>
      </c>
      <c r="AB97" s="12"/>
      <c r="AC97" s="112" t="s">
        <v>533</v>
      </c>
      <c r="AD97" s="12"/>
      <c r="AE97" s="12"/>
      <c r="AF97" s="112" t="s">
        <v>533</v>
      </c>
    </row>
    <row r="98" spans="1:32" ht="55.2" customHeight="1">
      <c r="A98" s="28" t="s">
        <v>116</v>
      </c>
      <c r="B98" s="29" t="s">
        <v>269</v>
      </c>
      <c r="C98" s="101" t="str">
        <f>INDEX(Nomenclature[],MATCH(Actions[[#This Row],[Libellé court Fidji ACT 
(choisir d''abord la famille)]],Nomenclature[Libellé court type d''action],0),2)</f>
        <v>Recourir aux PPA dans la stratégie d'achat pour inciter aux développements des EnR</v>
      </c>
      <c r="D98" s="99" t="s">
        <v>118</v>
      </c>
      <c r="E98" s="7" t="s">
        <v>430</v>
      </c>
      <c r="F98" s="158"/>
      <c r="G98" s="7"/>
      <c r="H98" s="7"/>
      <c r="I98" s="7" t="str" cm="1">
        <f t="array" ref="I98">INDEX(Nomenclature[],MATCH(Actions[[#This Row],[Libellé court Fidji ACT 
(choisir d''abord la famille)]],Nomenclature[Libellé court type d''action],0),COLUMN(Nomenclature[A suivre avec le mainteneur]))</f>
        <v xml:space="preserve"> </v>
      </c>
      <c r="J98" s="7" t="str" cm="1">
        <f t="array" ref="J98">INDEX(Nomenclature[],MATCH(Actions[[#This Row],[Libellé court Fidji ACT 
(choisir d''abord la famille)]],Nomenclature[Libellé court type d''action],0),COLUMN(Nomenclature[A suivre avec le propriétaire]))</f>
        <v xml:space="preserve"> </v>
      </c>
      <c r="K98" s="7"/>
      <c r="L98" s="112" t="s">
        <v>533</v>
      </c>
      <c r="M98" s="7"/>
      <c r="N98" s="7" t="str" cm="1">
        <f t="array" ref="N98">INDEX(Nomenclature[],MATCH(Actions[[#This Row],[Libellé court Fidji ACT 
(choisir d''abord la famille)]],Nomenclature[Libellé court type d''action],0),COLUMN(Nomenclature[Quick win]))</f>
        <v>Quick win</v>
      </c>
      <c r="O98" s="8"/>
      <c r="P98" s="8"/>
      <c r="Q98" s="8"/>
      <c r="R98" s="8"/>
      <c r="S98" s="8"/>
      <c r="T98" s="8"/>
      <c r="U98" s="8"/>
      <c r="V98" s="112" t="s">
        <v>533</v>
      </c>
      <c r="W98" s="11" t="s">
        <v>430</v>
      </c>
      <c r="X98" s="11"/>
      <c r="Y98" s="7"/>
      <c r="Z98" s="7"/>
      <c r="AA98" s="7" t="str" cm="1">
        <f t="array" ref="AA98">INDEX(Nomenclature[],MATCH(Actions[[#This Row],[Libellé court Fidji ACT 
(choisir d''abord la famille)]],Nomenclature[Libellé court type d''action],0),COLUMN(Nomenclature[Classe d''activité de référence]))</f>
        <v>-</v>
      </c>
      <c r="AB98" s="12"/>
      <c r="AC98" s="112" t="s">
        <v>533</v>
      </c>
      <c r="AD98" s="12"/>
      <c r="AE98" s="12"/>
      <c r="AF98" s="112" t="s">
        <v>533</v>
      </c>
    </row>
    <row r="99" spans="1:32" ht="55.2" customHeight="1">
      <c r="A99" s="28" t="s">
        <v>116</v>
      </c>
      <c r="B99" s="29" t="s">
        <v>270</v>
      </c>
      <c r="C99" s="101" t="str">
        <f>INDEX(Nomenclature[],MATCH(Actions[[#This Row],[Libellé court Fidji ACT 
(choisir d''abord la famille)]],Nomenclature[Libellé court type d''action],0),2)</f>
        <v>Intégrer l’obtention de Certificats d’Economie d’Energie dans la démarche d’achat</v>
      </c>
      <c r="D99" s="99" t="s">
        <v>119</v>
      </c>
      <c r="E99" s="7" t="s">
        <v>430</v>
      </c>
      <c r="F99" s="158"/>
      <c r="G99" s="7"/>
      <c r="H99" s="7"/>
      <c r="I99" s="7" t="str" cm="1">
        <f t="array" ref="I99">INDEX(Nomenclature[],MATCH(Actions[[#This Row],[Libellé court Fidji ACT 
(choisir d''abord la famille)]],Nomenclature[Libellé court type d''action],0),COLUMN(Nomenclature[A suivre avec le mainteneur]))</f>
        <v xml:space="preserve"> </v>
      </c>
      <c r="J99" s="7" t="str" cm="1">
        <f t="array" ref="J99">INDEX(Nomenclature[],MATCH(Actions[[#This Row],[Libellé court Fidji ACT 
(choisir d''abord la famille)]],Nomenclature[Libellé court type d''action],0),COLUMN(Nomenclature[A suivre avec le propriétaire]))</f>
        <v xml:space="preserve"> </v>
      </c>
      <c r="K99" s="7"/>
      <c r="L99" s="112" t="s">
        <v>533</v>
      </c>
      <c r="M99" s="7"/>
      <c r="N99" s="7" t="str" cm="1">
        <f t="array" ref="N99">INDEX(Nomenclature[],MATCH(Actions[[#This Row],[Libellé court Fidji ACT 
(choisir d''abord la famille)]],Nomenclature[Libellé court type d''action],0),COLUMN(Nomenclature[Quick win]))</f>
        <v>Quick win</v>
      </c>
      <c r="O99" s="8"/>
      <c r="P99" s="8"/>
      <c r="Q99" s="8"/>
      <c r="R99" s="8"/>
      <c r="S99" s="8"/>
      <c r="T99" s="8"/>
      <c r="U99" s="8"/>
      <c r="V99" s="112" t="s">
        <v>533</v>
      </c>
      <c r="W99" s="11" t="s">
        <v>430</v>
      </c>
      <c r="X99" s="11"/>
      <c r="Y99" s="7"/>
      <c r="Z99" s="7"/>
      <c r="AA99" s="7" t="str" cm="1">
        <f t="array" ref="AA99">INDEX(Nomenclature[],MATCH(Actions[[#This Row],[Libellé court Fidji ACT 
(choisir d''abord la famille)]],Nomenclature[Libellé court type d''action],0),COLUMN(Nomenclature[Classe d''activité de référence]))</f>
        <v>-</v>
      </c>
      <c r="AB99" s="12"/>
      <c r="AC99" s="112" t="s">
        <v>533</v>
      </c>
      <c r="AD99" s="12"/>
      <c r="AE99" s="12"/>
      <c r="AF99" s="112" t="s">
        <v>533</v>
      </c>
    </row>
    <row r="100" spans="1:32" ht="55.2" customHeight="1">
      <c r="A100" s="28" t="s">
        <v>116</v>
      </c>
      <c r="B100" s="29" t="s">
        <v>271</v>
      </c>
      <c r="C100" s="101" t="str">
        <f>INDEX(Nomenclature[],MATCH(Actions[[#This Row],[Libellé court Fidji ACT 
(choisir d''abord la famille)]],Nomenclature[Libellé court type d''action],0),2)</f>
        <v>Privilégier achats à faible impact en intégrant durée de vie, TCO, externalité positive</v>
      </c>
      <c r="D100" s="99" t="s">
        <v>120</v>
      </c>
      <c r="E100" s="7" t="s">
        <v>430</v>
      </c>
      <c r="F100" s="158"/>
      <c r="G100" s="7"/>
      <c r="H100" s="7"/>
      <c r="I100" s="7" t="str" cm="1">
        <f t="array" ref="I100">INDEX(Nomenclature[],MATCH(Actions[[#This Row],[Libellé court Fidji ACT 
(choisir d''abord la famille)]],Nomenclature[Libellé court type d''action],0),COLUMN(Nomenclature[A suivre avec le mainteneur]))</f>
        <v xml:space="preserve"> </v>
      </c>
      <c r="J100" s="7" t="str" cm="1">
        <f t="array" ref="J100">INDEX(Nomenclature[],MATCH(Actions[[#This Row],[Libellé court Fidji ACT 
(choisir d''abord la famille)]],Nomenclature[Libellé court type d''action],0),COLUMN(Nomenclature[A suivre avec le propriétaire]))</f>
        <v xml:space="preserve"> </v>
      </c>
      <c r="K100" s="7"/>
      <c r="L100" s="112" t="s">
        <v>533</v>
      </c>
      <c r="M100" s="7"/>
      <c r="N100" s="7" t="str" cm="1">
        <f t="array" ref="N100">INDEX(Nomenclature[],MATCH(Actions[[#This Row],[Libellé court Fidji ACT 
(choisir d''abord la famille)]],Nomenclature[Libellé court type d''action],0),COLUMN(Nomenclature[Quick win]))</f>
        <v>Quick win</v>
      </c>
      <c r="O100" s="8"/>
      <c r="P100" s="8"/>
      <c r="Q100" s="8"/>
      <c r="R100" s="8"/>
      <c r="S100" s="8"/>
      <c r="T100" s="8"/>
      <c r="U100" s="8"/>
      <c r="V100" s="112" t="s">
        <v>533</v>
      </c>
      <c r="W100" s="11" t="s">
        <v>430</v>
      </c>
      <c r="X100" s="11"/>
      <c r="Y100" s="7"/>
      <c r="Z100" s="7"/>
      <c r="AA100" s="7" t="str" cm="1">
        <f t="array" ref="AA100">INDEX(Nomenclature[],MATCH(Actions[[#This Row],[Libellé court Fidji ACT 
(choisir d''abord la famille)]],Nomenclature[Libellé court type d''action],0),COLUMN(Nomenclature[Classe d''activité de référence]))</f>
        <v>-</v>
      </c>
      <c r="AB100" s="12"/>
      <c r="AC100" s="112" t="s">
        <v>533</v>
      </c>
      <c r="AD100" s="12"/>
      <c r="AE100" s="12"/>
      <c r="AF100" s="112" t="s">
        <v>533</v>
      </c>
    </row>
    <row r="101" spans="1:32" ht="55.2" customHeight="1">
      <c r="A101" s="28" t="s">
        <v>116</v>
      </c>
      <c r="B101" s="29" t="s">
        <v>272</v>
      </c>
      <c r="C101" s="101" t="str">
        <f>INDEX(Nomenclature[],MATCH(Actions[[#This Row],[Libellé court Fidji ACT 
(choisir d''abord la famille)]],Nomenclature[Libellé court type d''action],0),2)</f>
        <v xml:space="preserve">Inciter les achats à favoriser le réemploi, notamment sur les matériaux de 2nd œuvre </v>
      </c>
      <c r="D101" s="99" t="s">
        <v>558</v>
      </c>
      <c r="E101" s="7" t="s">
        <v>430</v>
      </c>
      <c r="F101" s="158"/>
      <c r="G101" s="7"/>
      <c r="H101" s="7"/>
      <c r="I101" s="7" t="str" cm="1">
        <f t="array" ref="I101">INDEX(Nomenclature[],MATCH(Actions[[#This Row],[Libellé court Fidji ACT 
(choisir d''abord la famille)]],Nomenclature[Libellé court type d''action],0),COLUMN(Nomenclature[A suivre avec le mainteneur]))</f>
        <v xml:space="preserve"> </v>
      </c>
      <c r="J101" s="7" t="str" cm="1">
        <f t="array" ref="J101">INDEX(Nomenclature[],MATCH(Actions[[#This Row],[Libellé court Fidji ACT 
(choisir d''abord la famille)]],Nomenclature[Libellé court type d''action],0),COLUMN(Nomenclature[A suivre avec le propriétaire]))</f>
        <v xml:space="preserve"> </v>
      </c>
      <c r="K101" s="7"/>
      <c r="L101" s="112" t="s">
        <v>533</v>
      </c>
      <c r="M101" s="7"/>
      <c r="N101" s="7" t="str" cm="1">
        <f t="array" ref="N101">INDEX(Nomenclature[],MATCH(Actions[[#This Row],[Libellé court Fidji ACT 
(choisir d''abord la famille)]],Nomenclature[Libellé court type d''action],0),COLUMN(Nomenclature[Quick win]))</f>
        <v>Quick win</v>
      </c>
      <c r="O101" s="8"/>
      <c r="P101" s="8"/>
      <c r="Q101" s="8"/>
      <c r="R101" s="8"/>
      <c r="S101" s="8"/>
      <c r="T101" s="8"/>
      <c r="U101" s="8"/>
      <c r="V101" s="112" t="s">
        <v>533</v>
      </c>
      <c r="W101" s="11" t="s">
        <v>430</v>
      </c>
      <c r="X101" s="11"/>
      <c r="Y101" s="7"/>
      <c r="Z101" s="7"/>
      <c r="AA101" s="7" t="str" cm="1">
        <f t="array" ref="AA101">INDEX(Nomenclature[],MATCH(Actions[[#This Row],[Libellé court Fidji ACT 
(choisir d''abord la famille)]],Nomenclature[Libellé court type d''action],0),COLUMN(Nomenclature[Classe d''activité de référence]))</f>
        <v>-</v>
      </c>
      <c r="AB101" s="12"/>
      <c r="AC101" s="112" t="s">
        <v>533</v>
      </c>
      <c r="AD101" s="12"/>
      <c r="AE101" s="12"/>
      <c r="AF101" s="112" t="s">
        <v>533</v>
      </c>
    </row>
    <row r="102" spans="1:32" ht="55.2" customHeight="1">
      <c r="A102" s="28" t="s">
        <v>116</v>
      </c>
      <c r="B102" s="29" t="s">
        <v>273</v>
      </c>
      <c r="C102" s="101" t="str">
        <f>INDEX(Nomenclature[],MATCH(Actions[[#This Row],[Libellé court Fidji ACT 
(choisir d''abord la famille)]],Nomenclature[Libellé court type d''action],0),2)</f>
        <v>Mettre en place au sein de l’entreprise une charte d’achat responsable</v>
      </c>
      <c r="D102" s="99" t="s">
        <v>122</v>
      </c>
      <c r="E102" s="7" t="s">
        <v>430</v>
      </c>
      <c r="F102" s="158"/>
      <c r="G102" s="7"/>
      <c r="H102" s="7"/>
      <c r="I102" s="7" t="str" cm="1">
        <f t="array" ref="I102">INDEX(Nomenclature[],MATCH(Actions[[#This Row],[Libellé court Fidji ACT 
(choisir d''abord la famille)]],Nomenclature[Libellé court type d''action],0),COLUMN(Nomenclature[A suivre avec le mainteneur]))</f>
        <v xml:space="preserve"> </v>
      </c>
      <c r="J102" s="7" t="str" cm="1">
        <f t="array" ref="J102">INDEX(Nomenclature[],MATCH(Actions[[#This Row],[Libellé court Fidji ACT 
(choisir d''abord la famille)]],Nomenclature[Libellé court type d''action],0),COLUMN(Nomenclature[A suivre avec le propriétaire]))</f>
        <v xml:space="preserve"> </v>
      </c>
      <c r="K102" s="7"/>
      <c r="L102" s="112" t="s">
        <v>533</v>
      </c>
      <c r="M102" s="7"/>
      <c r="N102" s="7" t="str" cm="1">
        <f t="array" ref="N102">INDEX(Nomenclature[],MATCH(Actions[[#This Row],[Libellé court Fidji ACT 
(choisir d''abord la famille)]],Nomenclature[Libellé court type d''action],0),COLUMN(Nomenclature[Quick win]))</f>
        <v>Quick win</v>
      </c>
      <c r="O102" s="8"/>
      <c r="P102" s="8"/>
      <c r="Q102" s="8"/>
      <c r="R102" s="8"/>
      <c r="S102" s="8"/>
      <c r="T102" s="8"/>
      <c r="U102" s="8"/>
      <c r="V102" s="112" t="s">
        <v>533</v>
      </c>
      <c r="W102" s="11" t="s">
        <v>430</v>
      </c>
      <c r="X102" s="11"/>
      <c r="Y102" s="7"/>
      <c r="Z102" s="7"/>
      <c r="AA102" s="7" t="str" cm="1">
        <f t="array" ref="AA102">INDEX(Nomenclature[],MATCH(Actions[[#This Row],[Libellé court Fidji ACT 
(choisir d''abord la famille)]],Nomenclature[Libellé court type d''action],0),COLUMN(Nomenclature[Classe d''activité de référence]))</f>
        <v>-</v>
      </c>
      <c r="AB102" s="12"/>
      <c r="AC102" s="112" t="s">
        <v>533</v>
      </c>
      <c r="AD102" s="12"/>
      <c r="AE102" s="12"/>
      <c r="AF102" s="112" t="s">
        <v>533</v>
      </c>
    </row>
    <row r="103" spans="1:32" ht="55.2" customHeight="1">
      <c r="A103" s="28" t="s">
        <v>124</v>
      </c>
      <c r="B103" s="29" t="s">
        <v>275</v>
      </c>
      <c r="C103" s="101" t="str">
        <f>INDEX(Nomenclature[],MATCH(Actions[[#This Row],[Libellé court Fidji ACT 
(choisir d''abord la famille)]],Nomenclature[Libellé court type d''action],0),2)</f>
        <v>Systématiser recherche de fuite et être réactif suite à détection de fuite</v>
      </c>
      <c r="D103" s="28" t="s">
        <v>125</v>
      </c>
      <c r="E103" s="7" t="s">
        <v>430</v>
      </c>
      <c r="F103" s="158"/>
      <c r="G103" s="7"/>
      <c r="H103" s="7"/>
      <c r="I103" s="7" t="str" cm="1">
        <f t="array" ref="I103">INDEX(Nomenclature[],MATCH(Actions[[#This Row],[Libellé court Fidji ACT 
(choisir d''abord la famille)]],Nomenclature[Libellé court type d''action],0),COLUMN(Nomenclature[A suivre avec le mainteneur]))</f>
        <v>Mainteneur</v>
      </c>
      <c r="J103" s="7" t="str" cm="1">
        <f t="array" ref="J103">INDEX(Nomenclature[],MATCH(Actions[[#This Row],[Libellé court Fidji ACT 
(choisir d''abord la famille)]],Nomenclature[Libellé court type d''action],0),COLUMN(Nomenclature[A suivre avec le propriétaire]))</f>
        <v xml:space="preserve"> </v>
      </c>
      <c r="K103" s="7"/>
      <c r="L103" s="112" t="s">
        <v>533</v>
      </c>
      <c r="M103" s="7"/>
      <c r="N103" s="7" t="str" cm="1">
        <f t="array" ref="N103">INDEX(Nomenclature[],MATCH(Actions[[#This Row],[Libellé court Fidji ACT 
(choisir d''abord la famille)]],Nomenclature[Libellé court type d''action],0),COLUMN(Nomenclature[Quick win]))</f>
        <v>Quick win</v>
      </c>
      <c r="O103" s="8"/>
      <c r="P103" s="8"/>
      <c r="Q103" s="8"/>
      <c r="R103" s="8"/>
      <c r="S103" s="8"/>
      <c r="T103" s="8"/>
      <c r="U103" s="8"/>
      <c r="V103" s="112" t="s">
        <v>533</v>
      </c>
      <c r="W103" s="11" t="s">
        <v>430</v>
      </c>
      <c r="X103" s="11"/>
      <c r="Y103" s="7"/>
      <c r="Z103" s="7"/>
      <c r="AA103" s="7" t="str" cm="1">
        <f t="array" ref="AA103">INDEX(Nomenclature[],MATCH(Actions[[#This Row],[Libellé court Fidji ACT 
(choisir d''abord la famille)]],Nomenclature[Libellé court type d''action],0),COLUMN(Nomenclature[Classe d''activité de référence]))</f>
        <v>-</v>
      </c>
      <c r="AB103" s="12"/>
      <c r="AC103" s="112" t="s">
        <v>533</v>
      </c>
      <c r="AD103" s="12"/>
      <c r="AE103" s="12"/>
      <c r="AF103" s="112" t="s">
        <v>533</v>
      </c>
    </row>
    <row r="104" spans="1:32" ht="55.2" customHeight="1">
      <c r="A104" s="28" t="s">
        <v>124</v>
      </c>
      <c r="B104" s="29" t="s">
        <v>380</v>
      </c>
      <c r="C104" s="101" t="str">
        <f>INDEX(Nomenclature[],MATCH(Actions[[#This Row],[Libellé court Fidji ACT 
(choisir d''abord la famille)]],Nomenclature[Libellé court type d''action],0),2)</f>
        <v>Raccorder les organes de pilotage de la distribution d’eau à la GTB</v>
      </c>
      <c r="D104" s="28" t="s">
        <v>126</v>
      </c>
      <c r="E104" s="7" t="s">
        <v>430</v>
      </c>
      <c r="F104" s="158"/>
      <c r="G104" s="7"/>
      <c r="H104" s="7"/>
      <c r="I104" s="7" t="str" cm="1">
        <f t="array" ref="I104">INDEX(Nomenclature[],MATCH(Actions[[#This Row],[Libellé court Fidji ACT 
(choisir d''abord la famille)]],Nomenclature[Libellé court type d''action],0),COLUMN(Nomenclature[A suivre avec le mainteneur]))</f>
        <v>Mainteneur</v>
      </c>
      <c r="J104" s="7" t="str" cm="1">
        <f t="array" ref="J104">INDEX(Nomenclature[],MATCH(Actions[[#This Row],[Libellé court Fidji ACT 
(choisir d''abord la famille)]],Nomenclature[Libellé court type d''action],0),COLUMN(Nomenclature[A suivre avec le propriétaire]))</f>
        <v xml:space="preserve"> </v>
      </c>
      <c r="K104" s="7"/>
      <c r="L104" s="112" t="s">
        <v>533</v>
      </c>
      <c r="M104" s="7"/>
      <c r="N104" s="7" t="str" cm="1">
        <f t="array" ref="N104">INDEX(Nomenclature[],MATCH(Actions[[#This Row],[Libellé court Fidji ACT 
(choisir d''abord la famille)]],Nomenclature[Libellé court type d''action],0),COLUMN(Nomenclature[Quick win]))</f>
        <v>Rénovation légère</v>
      </c>
      <c r="O104" s="8"/>
      <c r="P104" s="8"/>
      <c r="Q104" s="8"/>
      <c r="R104" s="8"/>
      <c r="S104" s="8"/>
      <c r="T104" s="8"/>
      <c r="U104" s="8"/>
      <c r="V104" s="112" t="s">
        <v>533</v>
      </c>
      <c r="W104" s="11" t="s">
        <v>430</v>
      </c>
      <c r="X104" s="11"/>
      <c r="Y104" s="7"/>
      <c r="Z104" s="7"/>
      <c r="AA104" s="7" t="str" cm="1">
        <f t="array" ref="AA104">INDEX(Nomenclature[],MATCH(Actions[[#This Row],[Libellé court Fidji ACT 
(choisir d''abord la famille)]],Nomenclature[Libellé court type d''action],0),COLUMN(Nomenclature[Classe d''activité de référence]))</f>
        <v>7.5</v>
      </c>
      <c r="AB104" s="12"/>
      <c r="AC104" s="112" t="s">
        <v>533</v>
      </c>
      <c r="AD104" s="12"/>
      <c r="AE104" s="12"/>
      <c r="AF104" s="112" t="s">
        <v>533</v>
      </c>
    </row>
    <row r="105" spans="1:32" ht="55.2" customHeight="1">
      <c r="A105" s="28" t="s">
        <v>124</v>
      </c>
      <c r="B105" s="29" t="s">
        <v>381</v>
      </c>
      <c r="C105" s="101" t="str">
        <f>INDEX(Nomenclature[],MATCH(Actions[[#This Row],[Libellé court Fidji ACT 
(choisir d''abord la famille)]],Nomenclature[Libellé court type d''action],0),2)</f>
        <v>Mettre en place une collecte des eaux grises pour les réutiliser</v>
      </c>
      <c r="D105" s="28" t="s">
        <v>127</v>
      </c>
      <c r="E105" s="7" t="s">
        <v>430</v>
      </c>
      <c r="F105" s="158"/>
      <c r="G105" s="7"/>
      <c r="H105" s="7"/>
      <c r="I105" s="7" t="str" cm="1">
        <f t="array" ref="I105">INDEX(Nomenclature[],MATCH(Actions[[#This Row],[Libellé court Fidji ACT 
(choisir d''abord la famille)]],Nomenclature[Libellé court type d''action],0),COLUMN(Nomenclature[A suivre avec le mainteneur]))</f>
        <v xml:space="preserve"> </v>
      </c>
      <c r="J105" s="7" t="str" cm="1">
        <f t="array" ref="J105">INDEX(Nomenclature[],MATCH(Actions[[#This Row],[Libellé court Fidji ACT 
(choisir d''abord la famille)]],Nomenclature[Libellé court type d''action],0),COLUMN(Nomenclature[A suivre avec le propriétaire]))</f>
        <v xml:space="preserve"> </v>
      </c>
      <c r="K105" s="7"/>
      <c r="L105" s="112" t="s">
        <v>533</v>
      </c>
      <c r="M105" s="7"/>
      <c r="N105" s="7" t="str" cm="1">
        <f t="array" ref="N105">INDEX(Nomenclature[],MATCH(Actions[[#This Row],[Libellé court Fidji ACT 
(choisir d''abord la famille)]],Nomenclature[Libellé court type d''action],0),COLUMN(Nomenclature[Quick win]))</f>
        <v>Quick win</v>
      </c>
      <c r="O105" s="8"/>
      <c r="P105" s="8"/>
      <c r="Q105" s="8"/>
      <c r="R105" s="8"/>
      <c r="S105" s="8"/>
      <c r="T105" s="8"/>
      <c r="U105" s="8"/>
      <c r="V105" s="112" t="s">
        <v>533</v>
      </c>
      <c r="W105" s="11" t="s">
        <v>430</v>
      </c>
      <c r="X105" s="11"/>
      <c r="Y105" s="7"/>
      <c r="Z105" s="7"/>
      <c r="AA105" s="7" t="str" cm="1">
        <f t="array" ref="AA105">INDEX(Nomenclature[],MATCH(Actions[[#This Row],[Libellé court Fidji ACT 
(choisir d''abord la famille)]],Nomenclature[Libellé court type d''action],0),COLUMN(Nomenclature[Classe d''activité de référence]))</f>
        <v>-</v>
      </c>
      <c r="AB105" s="12"/>
      <c r="AC105" s="112" t="s">
        <v>533</v>
      </c>
      <c r="AD105" s="12"/>
      <c r="AE105" s="12"/>
      <c r="AF105" s="112" t="s">
        <v>533</v>
      </c>
    </row>
    <row r="106" spans="1:32" ht="55.2" customHeight="1">
      <c r="A106" s="28" t="s">
        <v>124</v>
      </c>
      <c r="B106" s="29" t="s">
        <v>382</v>
      </c>
      <c r="C106" s="101" t="str">
        <f>INDEX(Nomenclature[],MATCH(Actions[[#This Row],[Libellé court Fidji ACT 
(choisir d''abord la famille)]],Nomenclature[Libellé court type d''action],0),2)</f>
        <v>Installer un récupérateur d'eaux pluviales</v>
      </c>
      <c r="D106" s="28" t="s">
        <v>128</v>
      </c>
      <c r="E106" s="7" t="s">
        <v>430</v>
      </c>
      <c r="F106" s="158"/>
      <c r="G106" s="7"/>
      <c r="H106" s="7"/>
      <c r="I106" s="7" t="str" cm="1">
        <f t="array" ref="I106">INDEX(Nomenclature[],MATCH(Actions[[#This Row],[Libellé court Fidji ACT 
(choisir d''abord la famille)]],Nomenclature[Libellé court type d''action],0),COLUMN(Nomenclature[A suivre avec le mainteneur]))</f>
        <v xml:space="preserve"> </v>
      </c>
      <c r="J106" s="7" t="str" cm="1">
        <f t="array" ref="J106">INDEX(Nomenclature[],MATCH(Actions[[#This Row],[Libellé court Fidji ACT 
(choisir d''abord la famille)]],Nomenclature[Libellé court type d''action],0),COLUMN(Nomenclature[A suivre avec le propriétaire]))</f>
        <v>Propriétaire</v>
      </c>
      <c r="K106" s="7"/>
      <c r="L106" s="112" t="s">
        <v>533</v>
      </c>
      <c r="M106" s="7"/>
      <c r="N106" s="7" t="str" cm="1">
        <f t="array" ref="N106">INDEX(Nomenclature[],MATCH(Actions[[#This Row],[Libellé court Fidji ACT 
(choisir d''abord la famille)]],Nomenclature[Libellé court type d''action],0),COLUMN(Nomenclature[Quick win]))</f>
        <v>Rénovation légère</v>
      </c>
      <c r="O106" s="8"/>
      <c r="P106" s="8"/>
      <c r="Q106" s="8"/>
      <c r="R106" s="8"/>
      <c r="S106" s="8"/>
      <c r="T106" s="8"/>
      <c r="U106" s="8"/>
      <c r="V106" s="112" t="s">
        <v>533</v>
      </c>
      <c r="W106" s="11" t="s">
        <v>430</v>
      </c>
      <c r="X106" s="11"/>
      <c r="Y106" s="7"/>
      <c r="Z106" s="7"/>
      <c r="AA106" s="7" t="str" cm="1">
        <f t="array" ref="AA106">INDEX(Nomenclature[],MATCH(Actions[[#This Row],[Libellé court Fidji ACT 
(choisir d''abord la famille)]],Nomenclature[Libellé court type d''action],0),COLUMN(Nomenclature[Classe d''activité de référence]))</f>
        <v>-</v>
      </c>
      <c r="AB106" s="12"/>
      <c r="AC106" s="112" t="s">
        <v>533</v>
      </c>
      <c r="AD106" s="12"/>
      <c r="AE106" s="12"/>
      <c r="AF106" s="112" t="s">
        <v>533</v>
      </c>
    </row>
    <row r="107" spans="1:32" ht="55.2" customHeight="1">
      <c r="A107" s="28" t="s">
        <v>124</v>
      </c>
      <c r="B107" s="29" t="s">
        <v>383</v>
      </c>
      <c r="C107" s="101" t="str">
        <f>INDEX(Nomenclature[],MATCH(Actions[[#This Row],[Libellé court Fidji ACT 
(choisir d''abord la famille)]],Nomenclature[Libellé court type d''action],0),2)</f>
        <v>Réinjecter les eaux de pluie dans les usages le permettant</v>
      </c>
      <c r="D107" s="28" t="s">
        <v>129</v>
      </c>
      <c r="E107" s="7" t="s">
        <v>430</v>
      </c>
      <c r="F107" s="158"/>
      <c r="G107" s="7"/>
      <c r="H107" s="7"/>
      <c r="I107" s="7" t="str" cm="1">
        <f t="array" ref="I107">INDEX(Nomenclature[],MATCH(Actions[[#This Row],[Libellé court Fidji ACT 
(choisir d''abord la famille)]],Nomenclature[Libellé court type d''action],0),COLUMN(Nomenclature[A suivre avec le mainteneur]))</f>
        <v xml:space="preserve"> </v>
      </c>
      <c r="J107" s="7" t="str" cm="1">
        <f t="array" ref="J107">INDEX(Nomenclature[],MATCH(Actions[[#This Row],[Libellé court Fidji ACT 
(choisir d''abord la famille)]],Nomenclature[Libellé court type d''action],0),COLUMN(Nomenclature[A suivre avec le propriétaire]))</f>
        <v xml:space="preserve"> </v>
      </c>
      <c r="K107" s="7"/>
      <c r="L107" s="112" t="s">
        <v>533</v>
      </c>
      <c r="M107" s="7"/>
      <c r="N107" s="7" t="str" cm="1">
        <f t="array" ref="N107">INDEX(Nomenclature[],MATCH(Actions[[#This Row],[Libellé court Fidji ACT 
(choisir d''abord la famille)]],Nomenclature[Libellé court type d''action],0),COLUMN(Nomenclature[Quick win]))</f>
        <v>Quick win</v>
      </c>
      <c r="O107" s="8"/>
      <c r="P107" s="8"/>
      <c r="Q107" s="8"/>
      <c r="R107" s="8"/>
      <c r="S107" s="8"/>
      <c r="T107" s="8"/>
      <c r="U107" s="8"/>
      <c r="V107" s="112" t="s">
        <v>533</v>
      </c>
      <c r="W107" s="11" t="s">
        <v>430</v>
      </c>
      <c r="X107" s="11"/>
      <c r="Y107" s="7"/>
      <c r="Z107" s="7"/>
      <c r="AA107" s="7" t="str" cm="1">
        <f t="array" ref="AA107">INDEX(Nomenclature[],MATCH(Actions[[#This Row],[Libellé court Fidji ACT 
(choisir d''abord la famille)]],Nomenclature[Libellé court type d''action],0),COLUMN(Nomenclature[Classe d''activité de référence]))</f>
        <v>-</v>
      </c>
      <c r="AB107" s="12"/>
      <c r="AC107" s="112" t="s">
        <v>533</v>
      </c>
      <c r="AD107" s="12"/>
      <c r="AE107" s="12"/>
      <c r="AF107" s="112" t="s">
        <v>533</v>
      </c>
    </row>
    <row r="108" spans="1:32" ht="55.2" customHeight="1">
      <c r="A108" s="28" t="s">
        <v>124</v>
      </c>
      <c r="B108" s="29" t="s">
        <v>384</v>
      </c>
      <c r="C108" s="101" t="str">
        <f>INDEX(Nomenclature[],MATCH(Actions[[#This Row],[Libellé court Fidji ACT 
(choisir d''abord la famille)]],Nomenclature[Libellé court type d''action],0),2)</f>
        <v>Mettre en place équipements hydro-économes</v>
      </c>
      <c r="D108" s="28" t="s">
        <v>130</v>
      </c>
      <c r="E108" s="7" t="s">
        <v>430</v>
      </c>
      <c r="F108" s="158"/>
      <c r="G108" s="7"/>
      <c r="H108" s="7"/>
      <c r="I108" s="7" t="str" cm="1">
        <f t="array" ref="I108">INDEX(Nomenclature[],MATCH(Actions[[#This Row],[Libellé court Fidji ACT 
(choisir d''abord la famille)]],Nomenclature[Libellé court type d''action],0),COLUMN(Nomenclature[A suivre avec le mainteneur]))</f>
        <v xml:space="preserve"> </v>
      </c>
      <c r="J108" s="7" t="str" cm="1">
        <f t="array" ref="J108">INDEX(Nomenclature[],MATCH(Actions[[#This Row],[Libellé court Fidji ACT 
(choisir d''abord la famille)]],Nomenclature[Libellé court type d''action],0),COLUMN(Nomenclature[A suivre avec le propriétaire]))</f>
        <v xml:space="preserve"> </v>
      </c>
      <c r="K108" s="7"/>
      <c r="L108" s="112" t="s">
        <v>533</v>
      </c>
      <c r="M108" s="7"/>
      <c r="N108" s="7" t="str" cm="1">
        <f t="array" ref="N108">INDEX(Nomenclature[],MATCH(Actions[[#This Row],[Libellé court Fidji ACT 
(choisir d''abord la famille)]],Nomenclature[Libellé court type d''action],0),COLUMN(Nomenclature[Quick win]))</f>
        <v>Quick win</v>
      </c>
      <c r="O108" s="8"/>
      <c r="P108" s="8"/>
      <c r="Q108" s="8"/>
      <c r="R108" s="8"/>
      <c r="S108" s="8"/>
      <c r="T108" s="8"/>
      <c r="U108" s="8"/>
      <c r="V108" s="112" t="s">
        <v>533</v>
      </c>
      <c r="W108" s="11" t="s">
        <v>430</v>
      </c>
      <c r="X108" s="11"/>
      <c r="Y108" s="7"/>
      <c r="Z108" s="7"/>
      <c r="AA108" s="7" t="str" cm="1">
        <f t="array" ref="AA108">INDEX(Nomenclature[],MATCH(Actions[[#This Row],[Libellé court Fidji ACT 
(choisir d''abord la famille)]],Nomenclature[Libellé court type d''action],0),COLUMN(Nomenclature[Classe d''activité de référence]))</f>
        <v>Oui</v>
      </c>
      <c r="AB108" s="12"/>
      <c r="AC108" s="112" t="s">
        <v>533</v>
      </c>
      <c r="AD108" s="12"/>
      <c r="AE108" s="12"/>
      <c r="AF108" s="112" t="s">
        <v>533</v>
      </c>
    </row>
    <row r="109" spans="1:32" ht="55.2" customHeight="1">
      <c r="A109" s="28" t="s">
        <v>132</v>
      </c>
      <c r="B109" s="29" t="s">
        <v>386</v>
      </c>
      <c r="C109" s="101" t="str">
        <f>INDEX(Nomenclature[],MATCH(Actions[[#This Row],[Libellé court Fidji ACT 
(choisir d''abord la famille)]],Nomenclature[Libellé court type d''action],0),2)</f>
        <v>Réaliser un audit énergétique des équipements IT sur site</v>
      </c>
      <c r="D109" s="28" t="s">
        <v>133</v>
      </c>
      <c r="E109" s="7" t="s">
        <v>430</v>
      </c>
      <c r="F109" s="158"/>
      <c r="G109" s="7"/>
      <c r="H109" s="7"/>
      <c r="I109" s="7" t="str" cm="1">
        <f t="array" ref="I109">INDEX(Nomenclature[],MATCH(Actions[[#This Row],[Libellé court Fidji ACT 
(choisir d''abord la famille)]],Nomenclature[Libellé court type d''action],0),COLUMN(Nomenclature[A suivre avec le mainteneur]))</f>
        <v xml:space="preserve"> </v>
      </c>
      <c r="J109" s="7" t="str" cm="1">
        <f t="array" ref="J109">INDEX(Nomenclature[],MATCH(Actions[[#This Row],[Libellé court Fidji ACT 
(choisir d''abord la famille)]],Nomenclature[Libellé court type d''action],0),COLUMN(Nomenclature[A suivre avec le propriétaire]))</f>
        <v xml:space="preserve"> </v>
      </c>
      <c r="K109" s="7"/>
      <c r="L109" s="112" t="s">
        <v>533</v>
      </c>
      <c r="M109" s="7"/>
      <c r="N109" s="7" t="str" cm="1">
        <f t="array" ref="N109">INDEX(Nomenclature[],MATCH(Actions[[#This Row],[Libellé court Fidji ACT 
(choisir d''abord la famille)]],Nomenclature[Libellé court type d''action],0),COLUMN(Nomenclature[Quick win]))</f>
        <v>Quick win</v>
      </c>
      <c r="O109" s="8"/>
      <c r="P109" s="8"/>
      <c r="Q109" s="8"/>
      <c r="R109" s="8"/>
      <c r="S109" s="8"/>
      <c r="T109" s="8"/>
      <c r="U109" s="8"/>
      <c r="V109" s="112" t="s">
        <v>533</v>
      </c>
      <c r="W109" s="11" t="s">
        <v>430</v>
      </c>
      <c r="X109" s="11"/>
      <c r="Y109" s="7"/>
      <c r="Z109" s="7"/>
      <c r="AA109" s="7" t="str" cm="1">
        <f t="array" ref="AA109">INDEX(Nomenclature[],MATCH(Actions[[#This Row],[Libellé court Fidji ACT 
(choisir d''abord la famille)]],Nomenclature[Libellé court type d''action],0),COLUMN(Nomenclature[Classe d''activité de référence]))</f>
        <v>Oui</v>
      </c>
      <c r="AB109" s="12"/>
      <c r="AC109" s="112" t="s">
        <v>533</v>
      </c>
      <c r="AD109" s="12"/>
      <c r="AE109" s="12"/>
      <c r="AF109" s="112" t="s">
        <v>533</v>
      </c>
    </row>
    <row r="110" spans="1:32" ht="55.2" customHeight="1">
      <c r="A110" s="28" t="s">
        <v>132</v>
      </c>
      <c r="B110" s="29" t="s">
        <v>276</v>
      </c>
      <c r="C110" s="101" t="str">
        <f>INDEX(Nomenclature[],MATCH(Actions[[#This Row],[Libellé court Fidji ACT 
(choisir d''abord la famille)]],Nomenclature[Libellé court type d''action],0),2)</f>
        <v>Paramétrer mise en veille / extinction automatique  des systèmes</v>
      </c>
      <c r="D110" s="28" t="s">
        <v>134</v>
      </c>
      <c r="E110" s="7" t="s">
        <v>430</v>
      </c>
      <c r="F110" s="158"/>
      <c r="G110" s="7"/>
      <c r="H110" s="7"/>
      <c r="I110" s="7" t="str" cm="1">
        <f t="array" ref="I110">INDEX(Nomenclature[],MATCH(Actions[[#This Row],[Libellé court Fidji ACT 
(choisir d''abord la famille)]],Nomenclature[Libellé court type d''action],0),COLUMN(Nomenclature[A suivre avec le mainteneur]))</f>
        <v xml:space="preserve"> </v>
      </c>
      <c r="J110" s="7" t="str" cm="1">
        <f t="array" ref="J110">INDEX(Nomenclature[],MATCH(Actions[[#This Row],[Libellé court Fidji ACT 
(choisir d''abord la famille)]],Nomenclature[Libellé court type d''action],0),COLUMN(Nomenclature[A suivre avec le propriétaire]))</f>
        <v xml:space="preserve"> </v>
      </c>
      <c r="K110" s="7"/>
      <c r="L110" s="112" t="s">
        <v>533</v>
      </c>
      <c r="M110" s="7"/>
      <c r="N110" s="7" t="str" cm="1">
        <f t="array" ref="N110">INDEX(Nomenclature[],MATCH(Actions[[#This Row],[Libellé court Fidji ACT 
(choisir d''abord la famille)]],Nomenclature[Libellé court type d''action],0),COLUMN(Nomenclature[Quick win]))</f>
        <v>Quick win</v>
      </c>
      <c r="O110" s="8"/>
      <c r="P110" s="8"/>
      <c r="Q110" s="8"/>
      <c r="R110" s="8"/>
      <c r="S110" s="8"/>
      <c r="T110" s="8"/>
      <c r="U110" s="8"/>
      <c r="V110" s="112" t="s">
        <v>533</v>
      </c>
      <c r="W110" s="11" t="s">
        <v>430</v>
      </c>
      <c r="X110" s="11"/>
      <c r="Y110" s="7"/>
      <c r="Z110" s="7"/>
      <c r="AA110" s="7" t="str" cm="1">
        <f t="array" ref="AA110">INDEX(Nomenclature[],MATCH(Actions[[#This Row],[Libellé court Fidji ACT 
(choisir d''abord la famille)]],Nomenclature[Libellé court type d''action],0),COLUMN(Nomenclature[Classe d''activité de référence]))</f>
        <v>-</v>
      </c>
      <c r="AB110" s="12"/>
      <c r="AC110" s="112" t="s">
        <v>533</v>
      </c>
      <c r="AD110" s="12"/>
      <c r="AE110" s="12"/>
      <c r="AF110" s="112" t="s">
        <v>533</v>
      </c>
    </row>
    <row r="111" spans="1:32" ht="55.2" customHeight="1">
      <c r="A111" s="28" t="s">
        <v>132</v>
      </c>
      <c r="B111" s="29" t="s">
        <v>277</v>
      </c>
      <c r="C111" s="101" t="str">
        <f>INDEX(Nomenclature[],MATCH(Actions[[#This Row],[Libellé court Fidji ACT 
(choisir d''abord la famille)]],Nomenclature[Libellé court type d''action],0),2)</f>
        <v>Mettre en place une coupure centralisée des équipements bureautique</v>
      </c>
      <c r="D111" s="28" t="s">
        <v>135</v>
      </c>
      <c r="E111" s="7" t="s">
        <v>430</v>
      </c>
      <c r="F111" s="158"/>
      <c r="G111" s="7"/>
      <c r="H111" s="7"/>
      <c r="I111" s="7" t="str" cm="1">
        <f t="array" ref="I111">INDEX(Nomenclature[],MATCH(Actions[[#This Row],[Libellé court Fidji ACT 
(choisir d''abord la famille)]],Nomenclature[Libellé court type d''action],0),COLUMN(Nomenclature[A suivre avec le mainteneur]))</f>
        <v xml:space="preserve"> </v>
      </c>
      <c r="J111" s="7" t="str" cm="1">
        <f t="array" ref="J111">INDEX(Nomenclature[],MATCH(Actions[[#This Row],[Libellé court Fidji ACT 
(choisir d''abord la famille)]],Nomenclature[Libellé court type d''action],0),COLUMN(Nomenclature[A suivre avec le propriétaire]))</f>
        <v xml:space="preserve"> </v>
      </c>
      <c r="K111" s="7"/>
      <c r="L111" s="112" t="s">
        <v>533</v>
      </c>
      <c r="M111" s="7"/>
      <c r="N111" s="7" t="str" cm="1">
        <f t="array" ref="N111">INDEX(Nomenclature[],MATCH(Actions[[#This Row],[Libellé court Fidji ACT 
(choisir d''abord la famille)]],Nomenclature[Libellé court type d''action],0),COLUMN(Nomenclature[Quick win]))</f>
        <v>Quick win</v>
      </c>
      <c r="O111" s="8"/>
      <c r="P111" s="8"/>
      <c r="Q111" s="8"/>
      <c r="R111" s="8"/>
      <c r="S111" s="8"/>
      <c r="T111" s="8"/>
      <c r="U111" s="8"/>
      <c r="V111" s="112" t="s">
        <v>533</v>
      </c>
      <c r="W111" s="11" t="s">
        <v>430</v>
      </c>
      <c r="X111" s="11"/>
      <c r="Y111" s="7"/>
      <c r="Z111" s="7"/>
      <c r="AA111" s="7" t="str" cm="1">
        <f t="array" ref="AA111">INDEX(Nomenclature[],MATCH(Actions[[#This Row],[Libellé court Fidji ACT 
(choisir d''abord la famille)]],Nomenclature[Libellé court type d''action],0),COLUMN(Nomenclature[Classe d''activité de référence]))</f>
        <v>Oui</v>
      </c>
      <c r="AB111" s="12"/>
      <c r="AC111" s="112" t="s">
        <v>533</v>
      </c>
      <c r="AD111" s="12"/>
      <c r="AE111" s="12"/>
      <c r="AF111" s="112" t="s">
        <v>533</v>
      </c>
    </row>
    <row r="112" spans="1:32" ht="55.2" customHeight="1">
      <c r="A112" s="28" t="s">
        <v>132</v>
      </c>
      <c r="B112" s="29" t="s">
        <v>278</v>
      </c>
      <c r="C112" s="101" t="str">
        <f>INDEX(Nomenclature[],MATCH(Actions[[#This Row],[Libellé court Fidji ACT 
(choisir d''abord la famille)]],Nomenclature[Libellé court type d''action],0),2)</f>
        <v>Se concerter avec l'IT pour ajuster t° consigne clim. salle serveur au max. acceptable</v>
      </c>
      <c r="D112" s="28" t="s">
        <v>136</v>
      </c>
      <c r="E112" s="7" t="s">
        <v>430</v>
      </c>
      <c r="F112" s="158"/>
      <c r="G112" s="7"/>
      <c r="H112" s="7"/>
      <c r="I112" s="7" t="str" cm="1">
        <f t="array" ref="I112">INDEX(Nomenclature[],MATCH(Actions[[#This Row],[Libellé court Fidji ACT 
(choisir d''abord la famille)]],Nomenclature[Libellé court type d''action],0),COLUMN(Nomenclature[A suivre avec le mainteneur]))</f>
        <v xml:space="preserve"> </v>
      </c>
      <c r="J112" s="7" t="str" cm="1">
        <f t="array" ref="J112">INDEX(Nomenclature[],MATCH(Actions[[#This Row],[Libellé court Fidji ACT 
(choisir d''abord la famille)]],Nomenclature[Libellé court type d''action],0),COLUMN(Nomenclature[A suivre avec le propriétaire]))</f>
        <v xml:space="preserve"> </v>
      </c>
      <c r="K112" s="7"/>
      <c r="L112" s="112" t="s">
        <v>533</v>
      </c>
      <c r="M112" s="7"/>
      <c r="N112" s="7" t="str" cm="1">
        <f t="array" ref="N112">INDEX(Nomenclature[],MATCH(Actions[[#This Row],[Libellé court Fidji ACT 
(choisir d''abord la famille)]],Nomenclature[Libellé court type d''action],0),COLUMN(Nomenclature[Quick win]))</f>
        <v>Quick win</v>
      </c>
      <c r="O112" s="8"/>
      <c r="P112" s="8"/>
      <c r="Q112" s="8"/>
      <c r="R112" s="8"/>
      <c r="S112" s="8"/>
      <c r="T112" s="8"/>
      <c r="U112" s="8"/>
      <c r="V112" s="112" t="s">
        <v>533</v>
      </c>
      <c r="W112" s="11" t="s">
        <v>430</v>
      </c>
      <c r="X112" s="11"/>
      <c r="Y112" s="7"/>
      <c r="Z112" s="7"/>
      <c r="AA112" s="7" t="str" cm="1">
        <f t="array" ref="AA112">INDEX(Nomenclature[],MATCH(Actions[[#This Row],[Libellé court Fidji ACT 
(choisir d''abord la famille)]],Nomenclature[Libellé court type d''action],0),COLUMN(Nomenclature[Classe d''activité de référence]))</f>
        <v>-</v>
      </c>
      <c r="AB112" s="12"/>
      <c r="AC112" s="112" t="s">
        <v>533</v>
      </c>
      <c r="AD112" s="12"/>
      <c r="AE112" s="12"/>
      <c r="AF112" s="112" t="s">
        <v>533</v>
      </c>
    </row>
    <row r="113" spans="1:32" ht="55.2" customHeight="1">
      <c r="A113" s="28" t="s">
        <v>132</v>
      </c>
      <c r="B113" s="29" t="s">
        <v>279</v>
      </c>
      <c r="C113" s="101" t="str">
        <f>INDEX(Nomenclature[],MATCH(Actions[[#This Row],[Libellé court Fidji ACT 
(choisir d''abord la famille)]],Nomenclature[Libellé court type d''action],0),2)</f>
        <v>Prôner la sobriété numérique quant aux flux (vidéo, pièces jointes email, …)</v>
      </c>
      <c r="D113" s="28" t="s">
        <v>137</v>
      </c>
      <c r="E113" s="7" t="s">
        <v>430</v>
      </c>
      <c r="F113" s="158"/>
      <c r="G113" s="7"/>
      <c r="H113" s="7"/>
      <c r="I113" s="7" t="str" cm="1">
        <f t="array" ref="I113">INDEX(Nomenclature[],MATCH(Actions[[#This Row],[Libellé court Fidji ACT 
(choisir d''abord la famille)]],Nomenclature[Libellé court type d''action],0),COLUMN(Nomenclature[A suivre avec le mainteneur]))</f>
        <v xml:space="preserve"> </v>
      </c>
      <c r="J113" s="7" t="str" cm="1">
        <f t="array" ref="J113">INDEX(Nomenclature[],MATCH(Actions[[#This Row],[Libellé court Fidji ACT 
(choisir d''abord la famille)]],Nomenclature[Libellé court type d''action],0),COLUMN(Nomenclature[A suivre avec le propriétaire]))</f>
        <v xml:space="preserve"> </v>
      </c>
      <c r="K113" s="7"/>
      <c r="L113" s="112" t="s">
        <v>533</v>
      </c>
      <c r="M113" s="7"/>
      <c r="N113" s="7" t="str" cm="1">
        <f t="array" ref="N113">INDEX(Nomenclature[],MATCH(Actions[[#This Row],[Libellé court Fidji ACT 
(choisir d''abord la famille)]],Nomenclature[Libellé court type d''action],0),COLUMN(Nomenclature[Quick win]))</f>
        <v>Quick win</v>
      </c>
      <c r="O113" s="8"/>
      <c r="P113" s="8"/>
      <c r="Q113" s="8"/>
      <c r="R113" s="8"/>
      <c r="S113" s="8"/>
      <c r="T113" s="8"/>
      <c r="U113" s="8"/>
      <c r="V113" s="112" t="s">
        <v>533</v>
      </c>
      <c r="W113" s="11" t="s">
        <v>430</v>
      </c>
      <c r="X113" s="11"/>
      <c r="Y113" s="7"/>
      <c r="Z113" s="7"/>
      <c r="AA113" s="7" t="str" cm="1">
        <f t="array" ref="AA113">INDEX(Nomenclature[],MATCH(Actions[[#This Row],[Libellé court Fidji ACT 
(choisir d''abord la famille)]],Nomenclature[Libellé court type d''action],0),COLUMN(Nomenclature[Classe d''activité de référence]))</f>
        <v>-</v>
      </c>
      <c r="AB113" s="12"/>
      <c r="AC113" s="112" t="s">
        <v>533</v>
      </c>
      <c r="AD113" s="12"/>
      <c r="AE113" s="12"/>
      <c r="AF113" s="112" t="s">
        <v>533</v>
      </c>
    </row>
    <row r="114" spans="1:32" ht="55.2" customHeight="1">
      <c r="A114" s="28" t="s">
        <v>132</v>
      </c>
      <c r="B114" s="29" t="s">
        <v>280</v>
      </c>
      <c r="C114" s="101" t="str">
        <f>INDEX(Nomenclature[],MATCH(Actions[[#This Row],[Libellé court Fidji ACT 
(choisir d''abord la famille)]],Nomenclature[Libellé court type d''action],0),2)</f>
        <v>Prôner la sobriété numérique quant aux données stockées</v>
      </c>
      <c r="D114" s="28" t="s">
        <v>138</v>
      </c>
      <c r="E114" s="7" t="s">
        <v>430</v>
      </c>
      <c r="F114" s="158"/>
      <c r="G114" s="7"/>
      <c r="H114" s="7"/>
      <c r="I114" s="7" t="str" cm="1">
        <f t="array" ref="I114">INDEX(Nomenclature[],MATCH(Actions[[#This Row],[Libellé court Fidji ACT 
(choisir d''abord la famille)]],Nomenclature[Libellé court type d''action],0),COLUMN(Nomenclature[A suivre avec le mainteneur]))</f>
        <v xml:space="preserve"> </v>
      </c>
      <c r="J114" s="7" t="str" cm="1">
        <f t="array" ref="J114">INDEX(Nomenclature[],MATCH(Actions[[#This Row],[Libellé court Fidji ACT 
(choisir d''abord la famille)]],Nomenclature[Libellé court type d''action],0),COLUMN(Nomenclature[A suivre avec le propriétaire]))</f>
        <v xml:space="preserve"> </v>
      </c>
      <c r="K114" s="7"/>
      <c r="L114" s="112" t="s">
        <v>533</v>
      </c>
      <c r="M114" s="7"/>
      <c r="N114" s="7" t="str" cm="1">
        <f t="array" ref="N114">INDEX(Nomenclature[],MATCH(Actions[[#This Row],[Libellé court Fidji ACT 
(choisir d''abord la famille)]],Nomenclature[Libellé court type d''action],0),COLUMN(Nomenclature[Quick win]))</f>
        <v>Quick win</v>
      </c>
      <c r="O114" s="8"/>
      <c r="P114" s="8"/>
      <c r="Q114" s="8"/>
      <c r="R114" s="8"/>
      <c r="S114" s="8"/>
      <c r="T114" s="8"/>
      <c r="U114" s="8"/>
      <c r="V114" s="112" t="s">
        <v>533</v>
      </c>
      <c r="W114" s="11" t="s">
        <v>430</v>
      </c>
      <c r="X114" s="11"/>
      <c r="Y114" s="7"/>
      <c r="Z114" s="7"/>
      <c r="AA114" s="7" t="str" cm="1">
        <f t="array" ref="AA114">INDEX(Nomenclature[],MATCH(Actions[[#This Row],[Libellé court Fidji ACT 
(choisir d''abord la famille)]],Nomenclature[Libellé court type d''action],0),COLUMN(Nomenclature[Classe d''activité de référence]))</f>
        <v>-</v>
      </c>
      <c r="AB114" s="12"/>
      <c r="AC114" s="112" t="s">
        <v>533</v>
      </c>
      <c r="AD114" s="12"/>
      <c r="AE114" s="12"/>
      <c r="AF114" s="112" t="s">
        <v>533</v>
      </c>
    </row>
    <row r="115" spans="1:32" ht="55.2" customHeight="1">
      <c r="A115" s="28" t="s">
        <v>132</v>
      </c>
      <c r="B115" s="29" t="s">
        <v>281</v>
      </c>
      <c r="C115" s="101" t="str">
        <f>INDEX(Nomenclature[],MATCH(Actions[[#This Row],[Libellé court Fidji ACT 
(choisir d''abord la famille)]],Nomenclature[Libellé court type d''action],0),2)</f>
        <v>Réduire temps d’utilisation &amp; luminosité écrans dans espaces communs, yc ascenseur</v>
      </c>
      <c r="D115" s="28" t="s">
        <v>139</v>
      </c>
      <c r="E115" s="7" t="s">
        <v>430</v>
      </c>
      <c r="F115" s="158"/>
      <c r="G115" s="7"/>
      <c r="H115" s="7"/>
      <c r="I115" s="7" t="str" cm="1">
        <f t="array" ref="I115">INDEX(Nomenclature[],MATCH(Actions[[#This Row],[Libellé court Fidji ACT 
(choisir d''abord la famille)]],Nomenclature[Libellé court type d''action],0),COLUMN(Nomenclature[A suivre avec le mainteneur]))</f>
        <v xml:space="preserve"> </v>
      </c>
      <c r="J115" s="7" t="str" cm="1">
        <f t="array" ref="J115">INDEX(Nomenclature[],MATCH(Actions[[#This Row],[Libellé court Fidji ACT 
(choisir d''abord la famille)]],Nomenclature[Libellé court type d''action],0),COLUMN(Nomenclature[A suivre avec le propriétaire]))</f>
        <v xml:space="preserve"> </v>
      </c>
      <c r="K115" s="7"/>
      <c r="L115" s="112" t="s">
        <v>533</v>
      </c>
      <c r="M115" s="7"/>
      <c r="N115" s="7" t="str" cm="1">
        <f t="array" ref="N115">INDEX(Nomenclature[],MATCH(Actions[[#This Row],[Libellé court Fidji ACT 
(choisir d''abord la famille)]],Nomenclature[Libellé court type d''action],0),COLUMN(Nomenclature[Quick win]))</f>
        <v>Quick win</v>
      </c>
      <c r="O115" s="8"/>
      <c r="P115" s="8"/>
      <c r="Q115" s="8"/>
      <c r="R115" s="8"/>
      <c r="S115" s="8"/>
      <c r="T115" s="8"/>
      <c r="U115" s="8"/>
      <c r="V115" s="112" t="s">
        <v>533</v>
      </c>
      <c r="W115" s="11" t="s">
        <v>430</v>
      </c>
      <c r="X115" s="11"/>
      <c r="Y115" s="7"/>
      <c r="Z115" s="7"/>
      <c r="AA115" s="7" t="str" cm="1">
        <f t="array" ref="AA115">INDEX(Nomenclature[],MATCH(Actions[[#This Row],[Libellé court Fidji ACT 
(choisir d''abord la famille)]],Nomenclature[Libellé court type d''action],0),COLUMN(Nomenclature[Classe d''activité de référence]))</f>
        <v>-</v>
      </c>
      <c r="AB115" s="12"/>
      <c r="AC115" s="112" t="s">
        <v>533</v>
      </c>
      <c r="AD115" s="12"/>
      <c r="AE115" s="12"/>
      <c r="AF115" s="112" t="s">
        <v>533</v>
      </c>
    </row>
    <row r="116" spans="1:32" ht="55.2" customHeight="1">
      <c r="A116" s="28" t="s">
        <v>132</v>
      </c>
      <c r="B116" s="29" t="s">
        <v>282</v>
      </c>
      <c r="C116" s="101" t="str">
        <f>INDEX(Nomenclature[],MATCH(Actions[[#This Row],[Libellé court Fidji ACT 
(choisir d''abord la famille)]],Nomenclature[Libellé court type d''action],0),2)</f>
        <v>Récupérer l’énergie produite par les serveurs (préchauffage eau, …)</v>
      </c>
      <c r="D116" s="28" t="s">
        <v>140</v>
      </c>
      <c r="E116" s="7" t="s">
        <v>430</v>
      </c>
      <c r="F116" s="158"/>
      <c r="G116" s="7"/>
      <c r="H116" s="7"/>
      <c r="I116" s="7" t="str" cm="1">
        <f t="array" ref="I116">INDEX(Nomenclature[],MATCH(Actions[[#This Row],[Libellé court Fidji ACT 
(choisir d''abord la famille)]],Nomenclature[Libellé court type d''action],0),COLUMN(Nomenclature[A suivre avec le mainteneur]))</f>
        <v xml:space="preserve"> </v>
      </c>
      <c r="J116" s="7" t="str" cm="1">
        <f t="array" ref="J116">INDEX(Nomenclature[],MATCH(Actions[[#This Row],[Libellé court Fidji ACT 
(choisir d''abord la famille)]],Nomenclature[Libellé court type d''action],0),COLUMN(Nomenclature[A suivre avec le propriétaire]))</f>
        <v xml:space="preserve"> </v>
      </c>
      <c r="K116" s="7"/>
      <c r="L116" s="112" t="s">
        <v>533</v>
      </c>
      <c r="M116" s="7"/>
      <c r="N116" s="7" t="str" cm="1">
        <f t="array" ref="N116">INDEX(Nomenclature[],MATCH(Actions[[#This Row],[Libellé court Fidji ACT 
(choisir d''abord la famille)]],Nomenclature[Libellé court type d''action],0),COLUMN(Nomenclature[Quick win]))</f>
        <v>Quick win</v>
      </c>
      <c r="O116" s="8"/>
      <c r="P116" s="8"/>
      <c r="Q116" s="8"/>
      <c r="R116" s="8"/>
      <c r="S116" s="8"/>
      <c r="T116" s="8"/>
      <c r="U116" s="8"/>
      <c r="V116" s="112" t="s">
        <v>533</v>
      </c>
      <c r="W116" s="11" t="s">
        <v>430</v>
      </c>
      <c r="X116" s="11"/>
      <c r="Y116" s="7"/>
      <c r="Z116" s="7"/>
      <c r="AA116" s="7" t="str" cm="1">
        <f t="array" ref="AA116">INDEX(Nomenclature[],MATCH(Actions[[#This Row],[Libellé court Fidji ACT 
(choisir d''abord la famille)]],Nomenclature[Libellé court type d''action],0),COLUMN(Nomenclature[Classe d''activité de référence]))</f>
        <v>-</v>
      </c>
      <c r="AB116" s="12"/>
      <c r="AC116" s="112" t="s">
        <v>533</v>
      </c>
      <c r="AD116" s="12"/>
      <c r="AE116" s="12"/>
      <c r="AF116" s="112" t="s">
        <v>533</v>
      </c>
    </row>
    <row r="117" spans="1:32" ht="55.2" customHeight="1">
      <c r="A117" s="28" t="s">
        <v>132</v>
      </c>
      <c r="B117" s="29" t="s">
        <v>387</v>
      </c>
      <c r="C117" s="101" t="str">
        <f>INDEX(Nomenclature[],MATCH(Actions[[#This Row],[Libellé court Fidji ACT 
(choisir d''abord la famille)]],Nomenclature[Libellé court type d''action],0),2)</f>
        <v>Opter pour prestataire d’hébergement signataire du code européen des datacenters</v>
      </c>
      <c r="D117" s="28" t="s">
        <v>141</v>
      </c>
      <c r="E117" s="7" t="s">
        <v>430</v>
      </c>
      <c r="F117" s="158"/>
      <c r="G117" s="7"/>
      <c r="H117" s="7"/>
      <c r="I117" s="7" t="str" cm="1">
        <f t="array" ref="I117">INDEX(Nomenclature[],MATCH(Actions[[#This Row],[Libellé court Fidji ACT 
(choisir d''abord la famille)]],Nomenclature[Libellé court type d''action],0),COLUMN(Nomenclature[A suivre avec le mainteneur]))</f>
        <v xml:space="preserve"> </v>
      </c>
      <c r="J117" s="7" t="str" cm="1">
        <f t="array" ref="J117">INDEX(Nomenclature[],MATCH(Actions[[#This Row],[Libellé court Fidji ACT 
(choisir d''abord la famille)]],Nomenclature[Libellé court type d''action],0),COLUMN(Nomenclature[A suivre avec le propriétaire]))</f>
        <v xml:space="preserve"> </v>
      </c>
      <c r="K117" s="7"/>
      <c r="L117" s="112" t="s">
        <v>533</v>
      </c>
      <c r="M117" s="7"/>
      <c r="N117" s="7" t="str" cm="1">
        <f t="array" ref="N117">INDEX(Nomenclature[],MATCH(Actions[[#This Row],[Libellé court Fidji ACT 
(choisir d''abord la famille)]],Nomenclature[Libellé court type d''action],0),COLUMN(Nomenclature[Quick win]))</f>
        <v>Quick win</v>
      </c>
      <c r="O117" s="8"/>
      <c r="P117" s="8"/>
      <c r="Q117" s="8"/>
      <c r="R117" s="8"/>
      <c r="S117" s="8"/>
      <c r="T117" s="8"/>
      <c r="U117" s="8"/>
      <c r="V117" s="112" t="s">
        <v>533</v>
      </c>
      <c r="W117" s="11" t="s">
        <v>430</v>
      </c>
      <c r="X117" s="11"/>
      <c r="Y117" s="7"/>
      <c r="Z117" s="7"/>
      <c r="AA117" s="7" t="str" cm="1">
        <f t="array" ref="AA117">INDEX(Nomenclature[],MATCH(Actions[[#This Row],[Libellé court Fidji ACT 
(choisir d''abord la famille)]],Nomenclature[Libellé court type d''action],0),COLUMN(Nomenclature[Classe d''activité de référence]))</f>
        <v>-</v>
      </c>
      <c r="AB117" s="12"/>
      <c r="AC117" s="112" t="s">
        <v>533</v>
      </c>
      <c r="AD117" s="12"/>
      <c r="AE117" s="12"/>
      <c r="AF117" s="112" t="s">
        <v>533</v>
      </c>
    </row>
    <row r="118" spans="1:32" ht="55.2" customHeight="1">
      <c r="A118" s="28" t="s">
        <v>143</v>
      </c>
      <c r="B118" s="29" t="s">
        <v>284</v>
      </c>
      <c r="C118" s="101" t="str">
        <f>INDEX(Nomenclature[],MATCH(Actions[[#This Row],[Libellé court Fidji ACT 
(choisir d''abord la famille)]],Nomenclature[Libellé court type d''action],0),2)</f>
        <v>Effectuer un diagnostic biodiversité du site en intégrant un référentiel harmonisé tel que CBSh ou GBS</v>
      </c>
      <c r="D118" s="28" t="s">
        <v>144</v>
      </c>
      <c r="E118" s="7" t="s">
        <v>430</v>
      </c>
      <c r="F118" s="158"/>
      <c r="G118" s="7"/>
      <c r="H118" s="7"/>
      <c r="I118" s="7" t="str" cm="1">
        <f t="array" ref="I118">INDEX(Nomenclature[],MATCH(Actions[[#This Row],[Libellé court Fidji ACT 
(choisir d''abord la famille)]],Nomenclature[Libellé court type d''action],0),COLUMN(Nomenclature[A suivre avec le mainteneur]))</f>
        <v xml:space="preserve"> </v>
      </c>
      <c r="J118" s="7" t="str" cm="1">
        <f t="array" ref="J118">INDEX(Nomenclature[],MATCH(Actions[[#This Row],[Libellé court Fidji ACT 
(choisir d''abord la famille)]],Nomenclature[Libellé court type d''action],0),COLUMN(Nomenclature[A suivre avec le propriétaire]))</f>
        <v xml:space="preserve"> </v>
      </c>
      <c r="K118" s="7"/>
      <c r="L118" s="112" t="s">
        <v>533</v>
      </c>
      <c r="M118" s="7"/>
      <c r="N118" s="7" t="str" cm="1">
        <f t="array" ref="N118">INDEX(Nomenclature[],MATCH(Actions[[#This Row],[Libellé court Fidji ACT 
(choisir d''abord la famille)]],Nomenclature[Libellé court type d''action],0),COLUMN(Nomenclature[Quick win]))</f>
        <v>Quick win</v>
      </c>
      <c r="O118" s="8"/>
      <c r="P118" s="8"/>
      <c r="Q118" s="8"/>
      <c r="R118" s="8"/>
      <c r="S118" s="8"/>
      <c r="T118" s="8"/>
      <c r="U118" s="8"/>
      <c r="V118" s="112" t="s">
        <v>533</v>
      </c>
      <c r="W118" s="11" t="s">
        <v>430</v>
      </c>
      <c r="X118" s="11"/>
      <c r="Y118" s="7"/>
      <c r="Z118" s="7"/>
      <c r="AA118" s="7" t="str" cm="1">
        <f t="array" ref="AA118">INDEX(Nomenclature[],MATCH(Actions[[#This Row],[Libellé court Fidji ACT 
(choisir d''abord la famille)]],Nomenclature[Libellé court type d''action],0),COLUMN(Nomenclature[Classe d''activité de référence]))</f>
        <v>-</v>
      </c>
      <c r="AB118" s="12"/>
      <c r="AC118" s="112" t="s">
        <v>533</v>
      </c>
      <c r="AD118" s="12"/>
      <c r="AE118" s="12"/>
      <c r="AF118" s="112" t="s">
        <v>533</v>
      </c>
    </row>
    <row r="119" spans="1:32" ht="55.2" customHeight="1">
      <c r="A119" s="28" t="s">
        <v>143</v>
      </c>
      <c r="B119" s="29" t="s">
        <v>285</v>
      </c>
      <c r="C119" s="101" t="str">
        <f>INDEX(Nomenclature[],MATCH(Actions[[#This Row],[Libellé court Fidji ACT 
(choisir d''abord la famille)]],Nomenclature[Libellé court type d''action],0),2)</f>
        <v>Formaliser un plan d’action pour gérer la biodiversité sur le site</v>
      </c>
      <c r="D119" s="28" t="s">
        <v>145</v>
      </c>
      <c r="E119" s="7" t="s">
        <v>430</v>
      </c>
      <c r="F119" s="158"/>
      <c r="G119" s="7" t="s">
        <v>531</v>
      </c>
      <c r="H119" s="7"/>
      <c r="I119" s="7" t="s">
        <v>535</v>
      </c>
      <c r="J119" s="7" t="str" cm="1">
        <f t="array" ref="J119">INDEX(Nomenclature[],MATCH(Actions[[#This Row],[Libellé court Fidji ACT 
(choisir d''abord la famille)]],Nomenclature[Libellé court type d''action],0),COLUMN(Nomenclature[A suivre avec le propriétaire]))</f>
        <v xml:space="preserve"> </v>
      </c>
      <c r="K119" s="7"/>
      <c r="L119" s="112" t="s">
        <v>533</v>
      </c>
      <c r="M119" s="7"/>
      <c r="N119" s="7" t="str" cm="1">
        <f t="array" ref="N119">INDEX(Nomenclature[],MATCH(Actions[[#This Row],[Libellé court Fidji ACT 
(choisir d''abord la famille)]],Nomenclature[Libellé court type d''action],0),COLUMN(Nomenclature[Quick win]))</f>
        <v>Quick win</v>
      </c>
      <c r="O119" s="8"/>
      <c r="P119" s="8"/>
      <c r="Q119" s="8"/>
      <c r="R119" s="8"/>
      <c r="S119" s="8"/>
      <c r="T119" s="8"/>
      <c r="U119" s="8"/>
      <c r="V119" s="112" t="s">
        <v>533</v>
      </c>
      <c r="W119" s="11" t="s">
        <v>430</v>
      </c>
      <c r="X119" s="11"/>
      <c r="Y119" s="7"/>
      <c r="Z119" s="7"/>
      <c r="AA119" s="7" t="str" cm="1">
        <f t="array" ref="AA119">INDEX(Nomenclature[],MATCH(Actions[[#This Row],[Libellé court Fidji ACT 
(choisir d''abord la famille)]],Nomenclature[Libellé court type d''action],0),COLUMN(Nomenclature[Classe d''activité de référence]))</f>
        <v>-</v>
      </c>
      <c r="AB119" s="12"/>
      <c r="AC119" s="112" t="s">
        <v>533</v>
      </c>
      <c r="AD119" s="12"/>
      <c r="AE119" s="12"/>
      <c r="AF119" s="112" t="s">
        <v>533</v>
      </c>
    </row>
    <row r="120" spans="1:32" ht="55.2" customHeight="1">
      <c r="A120" s="28" t="s">
        <v>143</v>
      </c>
      <c r="B120" s="29" t="s">
        <v>286</v>
      </c>
      <c r="C120" s="101" t="str">
        <f>INDEX(Nomenclature[],MATCH(Actions[[#This Row],[Libellé court Fidji ACT 
(choisir d''abord la famille)]],Nomenclature[Libellé court type d''action],0),2)</f>
        <v>Mettre en place un traitement raisonné des espaces verts, respectueux de la biodiversité</v>
      </c>
      <c r="D120" s="28" t="s">
        <v>146</v>
      </c>
      <c r="E120" s="7" t="s">
        <v>430</v>
      </c>
      <c r="F120" s="158"/>
      <c r="G120" s="7"/>
      <c r="H120" s="7"/>
      <c r="I120" s="7" t="str" cm="1">
        <f t="array" ref="I120">INDEX(Nomenclature[],MATCH(Actions[[#This Row],[Libellé court Fidji ACT 
(choisir d''abord la famille)]],Nomenclature[Libellé court type d''action],0),COLUMN(Nomenclature[A suivre avec le mainteneur]))</f>
        <v xml:space="preserve"> </v>
      </c>
      <c r="J120" s="7" t="s">
        <v>523</v>
      </c>
      <c r="K120" s="7"/>
      <c r="L120" s="112" t="s">
        <v>533</v>
      </c>
      <c r="M120" s="7"/>
      <c r="N120" s="7" t="str" cm="1">
        <f t="array" ref="N120">INDEX(Nomenclature[],MATCH(Actions[[#This Row],[Libellé court Fidji ACT 
(choisir d''abord la famille)]],Nomenclature[Libellé court type d''action],0),COLUMN(Nomenclature[Quick win]))</f>
        <v>Quick win</v>
      </c>
      <c r="O120" s="8"/>
      <c r="P120" s="8"/>
      <c r="Q120" s="8"/>
      <c r="R120" s="8"/>
      <c r="S120" s="8"/>
      <c r="T120" s="8"/>
      <c r="U120" s="8"/>
      <c r="V120" s="112" t="s">
        <v>533</v>
      </c>
      <c r="W120" s="11" t="s">
        <v>430</v>
      </c>
      <c r="X120" s="11"/>
      <c r="Y120" s="7"/>
      <c r="Z120" s="7"/>
      <c r="AA120" s="7" t="str" cm="1">
        <f t="array" ref="AA120">INDEX(Nomenclature[],MATCH(Actions[[#This Row],[Libellé court Fidji ACT 
(choisir d''abord la famille)]],Nomenclature[Libellé court type d''action],0),COLUMN(Nomenclature[Classe d''activité de référence]))</f>
        <v>-</v>
      </c>
      <c r="AB120" s="12"/>
      <c r="AC120" s="112" t="s">
        <v>533</v>
      </c>
      <c r="AD120" s="12"/>
      <c r="AE120" s="12"/>
      <c r="AF120" s="112" t="s">
        <v>533</v>
      </c>
    </row>
    <row r="121" spans="1:32" ht="55.2" customHeight="1">
      <c r="A121" s="28" t="s">
        <v>143</v>
      </c>
      <c r="B121" s="29" t="s">
        <v>287</v>
      </c>
      <c r="C121" s="101" t="str">
        <f>INDEX(Nomenclature[],MATCH(Actions[[#This Row],[Libellé court Fidji ACT 
(choisir d''abord la famille)]],Nomenclature[Libellé court type d''action],0),2)</f>
        <v>Installer des abris pour la faune sur les espaces extérieurs et sur le bâti</v>
      </c>
      <c r="D121" s="28" t="s">
        <v>147</v>
      </c>
      <c r="E121" s="7" t="s">
        <v>430</v>
      </c>
      <c r="F121" s="158"/>
      <c r="G121" s="7"/>
      <c r="H121" s="7"/>
      <c r="I121" s="7" t="str" cm="1">
        <f t="array" ref="I121">INDEX(Nomenclature[],MATCH(Actions[[#This Row],[Libellé court Fidji ACT 
(choisir d''abord la famille)]],Nomenclature[Libellé court type d''action],0),COLUMN(Nomenclature[A suivre avec le mainteneur]))</f>
        <v xml:space="preserve"> </v>
      </c>
      <c r="J121" s="7" t="str" cm="1">
        <f t="array" ref="J121">INDEX(Nomenclature[],MATCH(Actions[[#This Row],[Libellé court Fidji ACT 
(choisir d''abord la famille)]],Nomenclature[Libellé court type d''action],0),COLUMN(Nomenclature[A suivre avec le propriétaire]))</f>
        <v xml:space="preserve"> </v>
      </c>
      <c r="K121" s="7"/>
      <c r="L121" s="112" t="s">
        <v>533</v>
      </c>
      <c r="M121" s="7"/>
      <c r="N121" s="7" t="str" cm="1">
        <f t="array" ref="N121">INDEX(Nomenclature[],MATCH(Actions[[#This Row],[Libellé court Fidji ACT 
(choisir d''abord la famille)]],Nomenclature[Libellé court type d''action],0),COLUMN(Nomenclature[Quick win]))</f>
        <v>Quick win</v>
      </c>
      <c r="O121" s="8"/>
      <c r="P121" s="8"/>
      <c r="Q121" s="8"/>
      <c r="R121" s="8"/>
      <c r="S121" s="8"/>
      <c r="T121" s="8"/>
      <c r="U121" s="8"/>
      <c r="V121" s="112" t="s">
        <v>533</v>
      </c>
      <c r="W121" s="11" t="s">
        <v>430</v>
      </c>
      <c r="X121" s="11"/>
      <c r="Y121" s="7"/>
      <c r="Z121" s="7"/>
      <c r="AA121" s="7" t="str" cm="1">
        <f t="array" ref="AA121">INDEX(Nomenclature[],MATCH(Actions[[#This Row],[Libellé court Fidji ACT 
(choisir d''abord la famille)]],Nomenclature[Libellé court type d''action],0),COLUMN(Nomenclature[Classe d''activité de référence]))</f>
        <v>-</v>
      </c>
      <c r="AB121" s="12"/>
      <c r="AC121" s="112" t="s">
        <v>533</v>
      </c>
      <c r="AD121" s="12"/>
      <c r="AE121" s="12"/>
      <c r="AF121" s="112" t="s">
        <v>533</v>
      </c>
    </row>
    <row r="122" spans="1:32" ht="55.2" customHeight="1">
      <c r="A122" s="28" t="s">
        <v>143</v>
      </c>
      <c r="B122" s="29" t="s">
        <v>388</v>
      </c>
      <c r="C122" s="101" t="str">
        <f>INDEX(Nomenclature[],MATCH(Actions[[#This Row],[Libellé court Fidji ACT 
(choisir d''abord la famille)]],Nomenclature[Libellé court type d''action],0),2)</f>
        <v>Végétaliser les espaces en pleine terre en privilégiant les essences indigènes autonomes en eau</v>
      </c>
      <c r="D122" s="28" t="s">
        <v>148</v>
      </c>
      <c r="E122" s="7" t="s">
        <v>430</v>
      </c>
      <c r="F122" s="158"/>
      <c r="G122" s="7"/>
      <c r="H122" s="7"/>
      <c r="I122" s="7" t="str" cm="1">
        <f t="array" ref="I122">INDEX(Nomenclature[],MATCH(Actions[[#This Row],[Libellé court Fidji ACT 
(choisir d''abord la famille)]],Nomenclature[Libellé court type d''action],0),COLUMN(Nomenclature[A suivre avec le mainteneur]))</f>
        <v xml:space="preserve"> </v>
      </c>
      <c r="J122" s="7" t="str" cm="1">
        <f t="array" ref="J122">INDEX(Nomenclature[],MATCH(Actions[[#This Row],[Libellé court Fidji ACT 
(choisir d''abord la famille)]],Nomenclature[Libellé court type d''action],0),COLUMN(Nomenclature[A suivre avec le propriétaire]))</f>
        <v>Propriétaire</v>
      </c>
      <c r="K122" s="7"/>
      <c r="L122" s="112" t="s">
        <v>533</v>
      </c>
      <c r="M122" s="7"/>
      <c r="N122" s="7" t="str" cm="1">
        <f t="array" ref="N122">INDEX(Nomenclature[],MATCH(Actions[[#This Row],[Libellé court Fidji ACT 
(choisir d''abord la famille)]],Nomenclature[Libellé court type d''action],0),COLUMN(Nomenclature[Quick win]))</f>
        <v>Quick win</v>
      </c>
      <c r="O122" s="8"/>
      <c r="P122" s="8"/>
      <c r="Q122" s="8"/>
      <c r="R122" s="8"/>
      <c r="S122" s="8"/>
      <c r="T122" s="8"/>
      <c r="U122" s="8"/>
      <c r="V122" s="112" t="s">
        <v>533</v>
      </c>
      <c r="W122" s="11" t="s">
        <v>430</v>
      </c>
      <c r="X122" s="11"/>
      <c r="Y122" s="7"/>
      <c r="Z122" s="7"/>
      <c r="AA122" s="7" t="str" cm="1">
        <f t="array" ref="AA122">INDEX(Nomenclature[],MATCH(Actions[[#This Row],[Libellé court Fidji ACT 
(choisir d''abord la famille)]],Nomenclature[Libellé court type d''action],0),COLUMN(Nomenclature[Classe d''activité de référence]))</f>
        <v>-</v>
      </c>
      <c r="AB122" s="12"/>
      <c r="AC122" s="112" t="s">
        <v>533</v>
      </c>
      <c r="AD122" s="12"/>
      <c r="AE122" s="12"/>
      <c r="AF122" s="112" t="s">
        <v>533</v>
      </c>
    </row>
    <row r="123" spans="1:32" ht="55.2" customHeight="1">
      <c r="A123" s="28" t="s">
        <v>143</v>
      </c>
      <c r="B123" s="29" t="s">
        <v>389</v>
      </c>
      <c r="C123" s="101" t="str">
        <f>INDEX(Nomenclature[],MATCH(Actions[[#This Row],[Libellé court Fidji ACT 
(choisir d''abord la famille)]],Nomenclature[Libellé court type d''action],0),2)</f>
        <v>Renaturer les espaces extérieurs artificialisés : parkings, cours de service, parvis, pieds de murs, …</v>
      </c>
      <c r="D123" s="28" t="s">
        <v>149</v>
      </c>
      <c r="E123" s="7" t="s">
        <v>430</v>
      </c>
      <c r="F123" s="158"/>
      <c r="G123" s="7"/>
      <c r="H123" s="7"/>
      <c r="I123" s="7" t="str" cm="1">
        <f t="array" ref="I123">INDEX(Nomenclature[],MATCH(Actions[[#This Row],[Libellé court Fidji ACT 
(choisir d''abord la famille)]],Nomenclature[Libellé court type d''action],0),COLUMN(Nomenclature[A suivre avec le mainteneur]))</f>
        <v xml:space="preserve"> </v>
      </c>
      <c r="J123" s="7" t="str" cm="1">
        <f t="array" ref="J123">INDEX(Nomenclature[],MATCH(Actions[[#This Row],[Libellé court Fidji ACT 
(choisir d''abord la famille)]],Nomenclature[Libellé court type d''action],0),COLUMN(Nomenclature[A suivre avec le propriétaire]))</f>
        <v>Propriétaire</v>
      </c>
      <c r="K123" s="7"/>
      <c r="L123" s="112" t="s">
        <v>533</v>
      </c>
      <c r="M123" s="7"/>
      <c r="N123" s="7" t="str" cm="1">
        <f t="array" ref="N123">INDEX(Nomenclature[],MATCH(Actions[[#This Row],[Libellé court Fidji ACT 
(choisir d''abord la famille)]],Nomenclature[Libellé court type d''action],0),COLUMN(Nomenclature[Quick win]))</f>
        <v>Rénovation légère</v>
      </c>
      <c r="O123" s="8"/>
      <c r="P123" s="8"/>
      <c r="Q123" s="8"/>
      <c r="R123" s="8"/>
      <c r="S123" s="8"/>
      <c r="T123" s="8"/>
      <c r="U123" s="8"/>
      <c r="V123" s="112" t="s">
        <v>533</v>
      </c>
      <c r="W123" s="11" t="s">
        <v>430</v>
      </c>
      <c r="X123" s="11"/>
      <c r="Y123" s="7"/>
      <c r="Z123" s="7"/>
      <c r="AA123" s="7" t="str" cm="1">
        <f t="array" ref="AA123">INDEX(Nomenclature[],MATCH(Actions[[#This Row],[Libellé court Fidji ACT 
(choisir d''abord la famille)]],Nomenclature[Libellé court type d''action],0),COLUMN(Nomenclature[Classe d''activité de référence]))</f>
        <v>-</v>
      </c>
      <c r="AB123" s="12"/>
      <c r="AC123" s="112" t="s">
        <v>533</v>
      </c>
      <c r="AD123" s="12"/>
      <c r="AE123" s="12"/>
      <c r="AF123" s="112" t="s">
        <v>533</v>
      </c>
    </row>
    <row r="124" spans="1:32" ht="55.2" customHeight="1">
      <c r="A124" s="28" t="s">
        <v>143</v>
      </c>
      <c r="B124" s="29" t="s">
        <v>390</v>
      </c>
      <c r="C124" s="101" t="str">
        <f>INDEX(Nomenclature[],MATCH(Actions[[#This Row],[Libellé court Fidji ACT 
(choisir d''abord la famille)]],Nomenclature[Libellé court type d''action],0),2)</f>
        <v>Installer de la végétation hors sol quand la végétalisation pleine terre n'est pas possible</v>
      </c>
      <c r="D124" s="28" t="s">
        <v>150</v>
      </c>
      <c r="E124" s="7" t="s">
        <v>430</v>
      </c>
      <c r="F124" s="158"/>
      <c r="G124" s="7"/>
      <c r="H124" s="7"/>
      <c r="I124" s="7" t="str" cm="1">
        <f t="array" ref="I124">INDEX(Nomenclature[],MATCH(Actions[[#This Row],[Libellé court Fidji ACT 
(choisir d''abord la famille)]],Nomenclature[Libellé court type d''action],0),COLUMN(Nomenclature[A suivre avec le mainteneur]))</f>
        <v xml:space="preserve"> </v>
      </c>
      <c r="J124" s="7" t="str" cm="1">
        <f t="array" ref="J124">INDEX(Nomenclature[],MATCH(Actions[[#This Row],[Libellé court Fidji ACT 
(choisir d''abord la famille)]],Nomenclature[Libellé court type d''action],0),COLUMN(Nomenclature[A suivre avec le propriétaire]))</f>
        <v xml:space="preserve"> </v>
      </c>
      <c r="K124" s="7"/>
      <c r="L124" s="112" t="s">
        <v>533</v>
      </c>
      <c r="M124" s="7"/>
      <c r="N124" s="7" t="str" cm="1">
        <f t="array" ref="N124">INDEX(Nomenclature[],MATCH(Actions[[#This Row],[Libellé court Fidji ACT 
(choisir d''abord la famille)]],Nomenclature[Libellé court type d''action],0),COLUMN(Nomenclature[Quick win]))</f>
        <v>Quick win</v>
      </c>
      <c r="O124" s="8"/>
      <c r="P124" s="8"/>
      <c r="Q124" s="8"/>
      <c r="R124" s="8"/>
      <c r="S124" s="8"/>
      <c r="T124" s="8"/>
      <c r="U124" s="8"/>
      <c r="V124" s="112" t="s">
        <v>533</v>
      </c>
      <c r="W124" s="11" t="s">
        <v>430</v>
      </c>
      <c r="X124" s="11"/>
      <c r="Y124" s="7"/>
      <c r="Z124" s="7"/>
      <c r="AA124" s="7" t="str" cm="1">
        <f t="array" ref="AA124">INDEX(Nomenclature[],MATCH(Actions[[#This Row],[Libellé court Fidji ACT 
(choisir d''abord la famille)]],Nomenclature[Libellé court type d''action],0),COLUMN(Nomenclature[Classe d''activité de référence]))</f>
        <v>-</v>
      </c>
      <c r="AB124" s="12"/>
      <c r="AC124" s="112" t="s">
        <v>533</v>
      </c>
      <c r="AD124" s="12"/>
      <c r="AE124" s="12"/>
      <c r="AF124" s="112" t="s">
        <v>533</v>
      </c>
    </row>
    <row r="125" spans="1:32" ht="55.2" customHeight="1">
      <c r="A125" s="28" t="s">
        <v>143</v>
      </c>
      <c r="B125" s="29" t="s">
        <v>391</v>
      </c>
      <c r="C125" s="101" t="str">
        <f>INDEX(Nomenclature[],MATCH(Actions[[#This Row],[Libellé court Fidji ACT 
(choisir d''abord la famille)]],Nomenclature[Libellé court type d''action],0),2)</f>
        <v>Mettre en place de l’éco-pâturage</v>
      </c>
      <c r="D125" s="28" t="s">
        <v>151</v>
      </c>
      <c r="E125" s="7" t="s">
        <v>430</v>
      </c>
      <c r="F125" s="158"/>
      <c r="G125" s="7"/>
      <c r="H125" s="7"/>
      <c r="I125" s="7" t="str" cm="1">
        <f t="array" ref="I125">INDEX(Nomenclature[],MATCH(Actions[[#This Row],[Libellé court Fidji ACT 
(choisir d''abord la famille)]],Nomenclature[Libellé court type d''action],0),COLUMN(Nomenclature[A suivre avec le mainteneur]))</f>
        <v xml:space="preserve"> </v>
      </c>
      <c r="J125" s="7" t="str" cm="1">
        <f t="array" ref="J125">INDEX(Nomenclature[],MATCH(Actions[[#This Row],[Libellé court Fidji ACT 
(choisir d''abord la famille)]],Nomenclature[Libellé court type d''action],0),COLUMN(Nomenclature[A suivre avec le propriétaire]))</f>
        <v xml:space="preserve"> </v>
      </c>
      <c r="K125" s="7"/>
      <c r="L125" s="112" t="s">
        <v>533</v>
      </c>
      <c r="M125" s="7"/>
      <c r="N125" s="7" t="str" cm="1">
        <f t="array" ref="N125">INDEX(Nomenclature[],MATCH(Actions[[#This Row],[Libellé court Fidji ACT 
(choisir d''abord la famille)]],Nomenclature[Libellé court type d''action],0),COLUMN(Nomenclature[Quick win]))</f>
        <v>Quick win</v>
      </c>
      <c r="O125" s="8"/>
      <c r="P125" s="8"/>
      <c r="Q125" s="8"/>
      <c r="R125" s="8"/>
      <c r="S125" s="8"/>
      <c r="T125" s="8"/>
      <c r="U125" s="8"/>
      <c r="V125" s="112" t="s">
        <v>533</v>
      </c>
      <c r="W125" s="11" t="s">
        <v>430</v>
      </c>
      <c r="X125" s="11"/>
      <c r="Y125" s="7"/>
      <c r="Z125" s="7"/>
      <c r="AA125" s="7" t="str" cm="1">
        <f t="array" ref="AA125">INDEX(Nomenclature[],MATCH(Actions[[#This Row],[Libellé court Fidji ACT 
(choisir d''abord la famille)]],Nomenclature[Libellé court type d''action],0),COLUMN(Nomenclature[Classe d''activité de référence]))</f>
        <v>-</v>
      </c>
      <c r="AB125" s="12"/>
      <c r="AC125" s="112" t="s">
        <v>533</v>
      </c>
      <c r="AD125" s="12"/>
      <c r="AE125" s="12"/>
      <c r="AF125" s="112" t="s">
        <v>533</v>
      </c>
    </row>
    <row r="126" spans="1:32" ht="55.2" customHeight="1">
      <c r="A126" s="28" t="s">
        <v>143</v>
      </c>
      <c r="B126" s="29" t="s">
        <v>392</v>
      </c>
      <c r="C126" s="101" t="str">
        <f>INDEX(Nomenclature[],MATCH(Actions[[#This Row],[Libellé court Fidji ACT 
(choisir d''abord la famille)]],Nomenclature[Libellé court type d''action],0),2)</f>
        <v>Veiller à ce que l’éclairage du site respecte l'obscurité nocture nécessaire à la biodiversité</v>
      </c>
      <c r="D126" s="28" t="s">
        <v>346</v>
      </c>
      <c r="E126" s="7" t="s">
        <v>430</v>
      </c>
      <c r="F126" s="158"/>
      <c r="G126" s="7"/>
      <c r="H126" s="7"/>
      <c r="I126" s="7" t="str" cm="1">
        <f t="array" ref="I126">INDEX(Nomenclature[],MATCH(Actions[[#This Row],[Libellé court Fidji ACT 
(choisir d''abord la famille)]],Nomenclature[Libellé court type d''action],0),COLUMN(Nomenclature[A suivre avec le mainteneur]))</f>
        <v xml:space="preserve"> </v>
      </c>
      <c r="J126" s="7" t="str" cm="1">
        <f t="array" ref="J126">INDEX(Nomenclature[],MATCH(Actions[[#This Row],[Libellé court Fidji ACT 
(choisir d''abord la famille)]],Nomenclature[Libellé court type d''action],0),COLUMN(Nomenclature[A suivre avec le propriétaire]))</f>
        <v xml:space="preserve"> </v>
      </c>
      <c r="K126" s="7"/>
      <c r="L126" s="112" t="s">
        <v>533</v>
      </c>
      <c r="M126" s="7"/>
      <c r="N126" s="7" t="str" cm="1">
        <f t="array" ref="N126">INDEX(Nomenclature[],MATCH(Actions[[#This Row],[Libellé court Fidji ACT 
(choisir d''abord la famille)]],Nomenclature[Libellé court type d''action],0),COLUMN(Nomenclature[Quick win]))</f>
        <v>Quick win</v>
      </c>
      <c r="O126" s="8"/>
      <c r="P126" s="8"/>
      <c r="Q126" s="8"/>
      <c r="R126" s="8"/>
      <c r="S126" s="8"/>
      <c r="T126" s="8"/>
      <c r="U126" s="8"/>
      <c r="V126" s="112" t="s">
        <v>533</v>
      </c>
      <c r="W126" s="11" t="s">
        <v>430</v>
      </c>
      <c r="X126" s="11"/>
      <c r="Y126" s="7"/>
      <c r="Z126" s="7"/>
      <c r="AA126" s="7" t="str" cm="1">
        <f t="array" ref="AA126">INDEX(Nomenclature[],MATCH(Actions[[#This Row],[Libellé court Fidji ACT 
(choisir d''abord la famille)]],Nomenclature[Libellé court type d''action],0),COLUMN(Nomenclature[Classe d''activité de référence]))</f>
        <v>-</v>
      </c>
      <c r="AB126" s="12"/>
      <c r="AC126" s="112" t="s">
        <v>533</v>
      </c>
      <c r="AD126" s="12"/>
      <c r="AE126" s="12"/>
      <c r="AF126" s="112" t="s">
        <v>533</v>
      </c>
    </row>
    <row r="127" spans="1:32" ht="55.2" customHeight="1">
      <c r="A127" s="28" t="s">
        <v>143</v>
      </c>
      <c r="B127" s="29" t="s">
        <v>393</v>
      </c>
      <c r="C127" s="101" t="str">
        <f>INDEX(Nomenclature[],MATCH(Actions[[#This Row],[Libellé court Fidji ACT 
(choisir d''abord la famille)]],Nomenclature[Libellé court type d''action],0),2)</f>
        <v>Rendre les espaces verts accessibles et ludiques pour les utilisateurs du site</v>
      </c>
      <c r="D127" s="28" t="s">
        <v>152</v>
      </c>
      <c r="E127" s="7" t="s">
        <v>430</v>
      </c>
      <c r="F127" s="158"/>
      <c r="G127" s="7"/>
      <c r="H127" s="7"/>
      <c r="I127" s="7" t="str" cm="1">
        <f t="array" ref="I127">INDEX(Nomenclature[],MATCH(Actions[[#This Row],[Libellé court Fidji ACT 
(choisir d''abord la famille)]],Nomenclature[Libellé court type d''action],0),COLUMN(Nomenclature[A suivre avec le mainteneur]))</f>
        <v xml:space="preserve"> </v>
      </c>
      <c r="J127" s="7" t="str" cm="1">
        <f t="array" ref="J127">INDEX(Nomenclature[],MATCH(Actions[[#This Row],[Libellé court Fidji ACT 
(choisir d''abord la famille)]],Nomenclature[Libellé court type d''action],0),COLUMN(Nomenclature[A suivre avec le propriétaire]))</f>
        <v xml:space="preserve"> </v>
      </c>
      <c r="K127" s="7"/>
      <c r="L127" s="112" t="s">
        <v>533</v>
      </c>
      <c r="M127" s="7"/>
      <c r="N127" s="7" t="str" cm="1">
        <f t="array" ref="N127">INDEX(Nomenclature[],MATCH(Actions[[#This Row],[Libellé court Fidji ACT 
(choisir d''abord la famille)]],Nomenclature[Libellé court type d''action],0),COLUMN(Nomenclature[Quick win]))</f>
        <v>Rénovation légère</v>
      </c>
      <c r="O127" s="8"/>
      <c r="P127" s="8"/>
      <c r="Q127" s="8"/>
      <c r="R127" s="8"/>
      <c r="S127" s="8"/>
      <c r="T127" s="8"/>
      <c r="U127" s="8"/>
      <c r="V127" s="112" t="s">
        <v>533</v>
      </c>
      <c r="W127" s="11" t="s">
        <v>430</v>
      </c>
      <c r="X127" s="11"/>
      <c r="Y127" s="7"/>
      <c r="Z127" s="7"/>
      <c r="AA127" s="7" t="str" cm="1">
        <f t="array" ref="AA127">INDEX(Nomenclature[],MATCH(Actions[[#This Row],[Libellé court Fidji ACT 
(choisir d''abord la famille)]],Nomenclature[Libellé court type d''action],0),COLUMN(Nomenclature[Classe d''activité de référence]))</f>
        <v>-</v>
      </c>
      <c r="AB127" s="12"/>
      <c r="AC127" s="112" t="s">
        <v>533</v>
      </c>
      <c r="AD127" s="12"/>
      <c r="AE127" s="12"/>
      <c r="AF127" s="112" t="s">
        <v>533</v>
      </c>
    </row>
    <row r="128" spans="1:32" ht="55.2" customHeight="1">
      <c r="A128" s="28" t="s">
        <v>143</v>
      </c>
      <c r="B128" s="29" t="s">
        <v>394</v>
      </c>
      <c r="C128" s="101" t="str">
        <f>INDEX(Nomenclature[],MATCH(Actions[[#This Row],[Libellé court Fidji ACT 
(choisir d''abord la famille)]],Nomenclature[Libellé court type d''action],0),2)</f>
        <v>Communiquer sur les actions en faveur de la biodiversité</v>
      </c>
      <c r="D128" s="28" t="s">
        <v>153</v>
      </c>
      <c r="E128" s="7" t="s">
        <v>430</v>
      </c>
      <c r="F128" s="158"/>
      <c r="G128" s="7"/>
      <c r="H128" s="7"/>
      <c r="I128" s="7" t="str" cm="1">
        <f t="array" ref="I128">INDEX(Nomenclature[],MATCH(Actions[[#This Row],[Libellé court Fidji ACT 
(choisir d''abord la famille)]],Nomenclature[Libellé court type d''action],0),COLUMN(Nomenclature[A suivre avec le mainteneur]))</f>
        <v xml:space="preserve"> </v>
      </c>
      <c r="J128" s="7" t="str" cm="1">
        <f t="array" ref="J128">INDEX(Nomenclature[],MATCH(Actions[[#This Row],[Libellé court Fidji ACT 
(choisir d''abord la famille)]],Nomenclature[Libellé court type d''action],0),COLUMN(Nomenclature[A suivre avec le propriétaire]))</f>
        <v xml:space="preserve"> </v>
      </c>
      <c r="K128" s="7"/>
      <c r="L128" s="112" t="s">
        <v>533</v>
      </c>
      <c r="M128" s="7"/>
      <c r="N128" s="7" t="str" cm="1">
        <f t="array" ref="N128">INDEX(Nomenclature[],MATCH(Actions[[#This Row],[Libellé court Fidji ACT 
(choisir d''abord la famille)]],Nomenclature[Libellé court type d''action],0),COLUMN(Nomenclature[Quick win]))</f>
        <v>Quick win</v>
      </c>
      <c r="O128" s="8"/>
      <c r="P128" s="8"/>
      <c r="Q128" s="8"/>
      <c r="R128" s="8"/>
      <c r="S128" s="8"/>
      <c r="T128" s="8"/>
      <c r="U128" s="8"/>
      <c r="V128" s="112" t="s">
        <v>533</v>
      </c>
      <c r="W128" s="11" t="s">
        <v>430</v>
      </c>
      <c r="X128" s="11"/>
      <c r="Y128" s="7"/>
      <c r="Z128" s="7"/>
      <c r="AA128" s="7" t="str" cm="1">
        <f t="array" ref="AA128">INDEX(Nomenclature[],MATCH(Actions[[#This Row],[Libellé court Fidji ACT 
(choisir d''abord la famille)]],Nomenclature[Libellé court type d''action],0),COLUMN(Nomenclature[Classe d''activité de référence]))</f>
        <v>-</v>
      </c>
      <c r="AB128" s="12"/>
      <c r="AC128" s="112" t="s">
        <v>533</v>
      </c>
      <c r="AD128" s="12"/>
      <c r="AE128" s="12"/>
      <c r="AF128" s="112" t="s">
        <v>533</v>
      </c>
    </row>
    <row r="129" spans="1:32" ht="55.2" customHeight="1">
      <c r="A129" s="31" t="s">
        <v>155</v>
      </c>
      <c r="B129" s="29" t="s">
        <v>288</v>
      </c>
      <c r="C129" s="101" t="str">
        <f>INDEX(Nomenclature[],MATCH(Actions[[#This Row],[Libellé court Fidji ACT 
(choisir d''abord la famille)]],Nomenclature[Libellé court type d''action],0),2)</f>
        <v>Elaborer un plan de mobilité douce du site pour réduire les émissions liées au trafic routier</v>
      </c>
      <c r="D129" s="31" t="s">
        <v>156</v>
      </c>
      <c r="E129" s="7" t="s">
        <v>430</v>
      </c>
      <c r="F129" s="158"/>
      <c r="G129" s="7"/>
      <c r="H129" s="7"/>
      <c r="I129" s="7" t="str" cm="1">
        <f t="array" ref="I129">INDEX(Nomenclature[],MATCH(Actions[[#This Row],[Libellé court Fidji ACT 
(choisir d''abord la famille)]],Nomenclature[Libellé court type d''action],0),COLUMN(Nomenclature[A suivre avec le mainteneur]))</f>
        <v xml:space="preserve"> </v>
      </c>
      <c r="J129" s="7" t="str" cm="1">
        <f t="array" ref="J129">INDEX(Nomenclature[],MATCH(Actions[[#This Row],[Libellé court Fidji ACT 
(choisir d''abord la famille)]],Nomenclature[Libellé court type d''action],0),COLUMN(Nomenclature[A suivre avec le propriétaire]))</f>
        <v xml:space="preserve"> </v>
      </c>
      <c r="K129" s="7"/>
      <c r="L129" s="112" t="s">
        <v>533</v>
      </c>
      <c r="M129" s="7"/>
      <c r="N129" s="7" t="str" cm="1">
        <f t="array" ref="N129">INDEX(Nomenclature[],MATCH(Actions[[#This Row],[Libellé court Fidji ACT 
(choisir d''abord la famille)]],Nomenclature[Libellé court type d''action],0),COLUMN(Nomenclature[Quick win]))</f>
        <v>Quick win</v>
      </c>
      <c r="O129" s="8"/>
      <c r="P129" s="8"/>
      <c r="Q129" s="8"/>
      <c r="R129" s="8"/>
      <c r="S129" s="8"/>
      <c r="T129" s="8"/>
      <c r="U129" s="8"/>
      <c r="V129" s="112" t="s">
        <v>533</v>
      </c>
      <c r="W129" s="11" t="s">
        <v>430</v>
      </c>
      <c r="X129" s="11"/>
      <c r="Y129" s="7"/>
      <c r="Z129" s="7"/>
      <c r="AA129" s="7" t="str" cm="1">
        <f t="array" ref="AA129">INDEX(Nomenclature[],MATCH(Actions[[#This Row],[Libellé court Fidji ACT 
(choisir d''abord la famille)]],Nomenclature[Libellé court type d''action],0),COLUMN(Nomenclature[Classe d''activité de référence]))</f>
        <v>-</v>
      </c>
      <c r="AB129" s="12"/>
      <c r="AC129" s="112" t="s">
        <v>533</v>
      </c>
      <c r="AD129" s="12"/>
      <c r="AE129" s="12"/>
      <c r="AF129" s="112" t="s">
        <v>533</v>
      </c>
    </row>
    <row r="130" spans="1:32" ht="55.2" customHeight="1">
      <c r="A130" s="31" t="s">
        <v>155</v>
      </c>
      <c r="B130" s="29" t="s">
        <v>289</v>
      </c>
      <c r="C130" s="101" t="str">
        <f>INDEX(Nomenclature[],MATCH(Actions[[#This Row],[Libellé court Fidji ACT 
(choisir d''abord la famille)]],Nomenclature[Libellé court type d''action],0),2)</f>
        <v>Adapter le site aux utilisateurs de vélo (locaux &amp; accès sécurisés, douches, réparation…)</v>
      </c>
      <c r="D130" s="31" t="s">
        <v>157</v>
      </c>
      <c r="E130" s="7" t="s">
        <v>430</v>
      </c>
      <c r="F130" s="158"/>
      <c r="G130" s="7"/>
      <c r="H130" s="7"/>
      <c r="I130" s="7" t="str" cm="1">
        <f t="array" ref="I130">INDEX(Nomenclature[],MATCH(Actions[[#This Row],[Libellé court Fidji ACT 
(choisir d''abord la famille)]],Nomenclature[Libellé court type d''action],0),COLUMN(Nomenclature[A suivre avec le mainteneur]))</f>
        <v xml:space="preserve"> </v>
      </c>
      <c r="J130" s="7" t="str" cm="1">
        <f t="array" ref="J130">INDEX(Nomenclature[],MATCH(Actions[[#This Row],[Libellé court Fidji ACT 
(choisir d''abord la famille)]],Nomenclature[Libellé court type d''action],0),COLUMN(Nomenclature[A suivre avec le propriétaire]))</f>
        <v xml:space="preserve"> </v>
      </c>
      <c r="K130" s="7"/>
      <c r="L130" s="112" t="s">
        <v>533</v>
      </c>
      <c r="M130" s="7"/>
      <c r="N130" s="7" t="str" cm="1">
        <f t="array" ref="N130">INDEX(Nomenclature[],MATCH(Actions[[#This Row],[Libellé court Fidji ACT 
(choisir d''abord la famille)]],Nomenclature[Libellé court type d''action],0),COLUMN(Nomenclature[Quick win]))</f>
        <v>Rénovation légère</v>
      </c>
      <c r="O130" s="8"/>
      <c r="P130" s="8"/>
      <c r="Q130" s="8"/>
      <c r="R130" s="8"/>
      <c r="S130" s="8"/>
      <c r="T130" s="8"/>
      <c r="U130" s="8"/>
      <c r="V130" s="112" t="s">
        <v>533</v>
      </c>
      <c r="W130" s="11" t="s">
        <v>430</v>
      </c>
      <c r="X130" s="11"/>
      <c r="Y130" s="7"/>
      <c r="Z130" s="7"/>
      <c r="AA130" s="7" t="str" cm="1">
        <f t="array" ref="AA130">INDEX(Nomenclature[],MATCH(Actions[[#This Row],[Libellé court Fidji ACT 
(choisir d''abord la famille)]],Nomenclature[Libellé court type d''action],0),COLUMN(Nomenclature[Classe d''activité de référence]))</f>
        <v>-</v>
      </c>
      <c r="AB130" s="12"/>
      <c r="AC130" s="112" t="s">
        <v>533</v>
      </c>
      <c r="AD130" s="12"/>
      <c r="AE130" s="12"/>
      <c r="AF130" s="112" t="s">
        <v>533</v>
      </c>
    </row>
    <row r="131" spans="1:32" ht="55.2" customHeight="1">
      <c r="A131" s="31" t="s">
        <v>155</v>
      </c>
      <c r="B131" s="29" t="s">
        <v>290</v>
      </c>
      <c r="C131" s="101" t="str">
        <f>INDEX(Nomenclature[],MATCH(Actions[[#This Row],[Libellé court Fidji ACT 
(choisir d''abord la famille)]],Nomenclature[Libellé court type d''action],0),2)</f>
        <v>Mettre à disposition des collaborateurs des solutions de mobilité douce à tarif préférentiel</v>
      </c>
      <c r="D131" s="31" t="s">
        <v>158</v>
      </c>
      <c r="E131" s="7" t="s">
        <v>430</v>
      </c>
      <c r="F131" s="158"/>
      <c r="G131" s="7"/>
      <c r="H131" s="7"/>
      <c r="I131" s="7" t="str" cm="1">
        <f t="array" ref="I131">INDEX(Nomenclature[],MATCH(Actions[[#This Row],[Libellé court Fidji ACT 
(choisir d''abord la famille)]],Nomenclature[Libellé court type d''action],0),COLUMN(Nomenclature[A suivre avec le mainteneur]))</f>
        <v xml:space="preserve"> </v>
      </c>
      <c r="J131" s="7" t="str" cm="1">
        <f t="array" ref="J131">INDEX(Nomenclature[],MATCH(Actions[[#This Row],[Libellé court Fidji ACT 
(choisir d''abord la famille)]],Nomenclature[Libellé court type d''action],0),COLUMN(Nomenclature[A suivre avec le propriétaire]))</f>
        <v xml:space="preserve"> </v>
      </c>
      <c r="K131" s="7"/>
      <c r="L131" s="112" t="s">
        <v>533</v>
      </c>
      <c r="M131" s="7"/>
      <c r="N131" s="7" t="str" cm="1">
        <f t="array" ref="N131">INDEX(Nomenclature[],MATCH(Actions[[#This Row],[Libellé court Fidji ACT 
(choisir d''abord la famille)]],Nomenclature[Libellé court type d''action],0),COLUMN(Nomenclature[Quick win]))</f>
        <v>Quick win</v>
      </c>
      <c r="O131" s="8"/>
      <c r="P131" s="8"/>
      <c r="Q131" s="8"/>
      <c r="R131" s="8"/>
      <c r="S131" s="8"/>
      <c r="T131" s="8"/>
      <c r="U131" s="8"/>
      <c r="V131" s="112" t="s">
        <v>533</v>
      </c>
      <c r="W131" s="11" t="s">
        <v>430</v>
      </c>
      <c r="X131" s="11"/>
      <c r="Y131" s="7"/>
      <c r="Z131" s="7"/>
      <c r="AA131" s="7" t="str" cm="1">
        <f t="array" ref="AA131">INDEX(Nomenclature[],MATCH(Actions[[#This Row],[Libellé court Fidji ACT 
(choisir d''abord la famille)]],Nomenclature[Libellé court type d''action],0),COLUMN(Nomenclature[Classe d''activité de référence]))</f>
        <v>-</v>
      </c>
      <c r="AB131" s="12"/>
      <c r="AC131" s="112" t="s">
        <v>533</v>
      </c>
      <c r="AD131" s="12"/>
      <c r="AE131" s="12"/>
      <c r="AF131" s="112" t="s">
        <v>533</v>
      </c>
    </row>
    <row r="132" spans="1:32" ht="55.2" customHeight="1">
      <c r="A132" s="31" t="s">
        <v>155</v>
      </c>
      <c r="B132" s="29" t="s">
        <v>291</v>
      </c>
      <c r="C132" s="101" t="str">
        <f>INDEX(Nomenclature[],MATCH(Actions[[#This Row],[Libellé court Fidji ACT 
(choisir d''abord la famille)]],Nomenclature[Libellé court type d''action],0),2)</f>
        <v>Inciter financièrement les collaborateurs du site à limiter leurs déplacements en voiture</v>
      </c>
      <c r="D132" s="31" t="s">
        <v>159</v>
      </c>
      <c r="E132" s="7" t="s">
        <v>430</v>
      </c>
      <c r="F132" s="158"/>
      <c r="G132" s="7"/>
      <c r="H132" s="7"/>
      <c r="I132" s="7" t="str" cm="1">
        <f t="array" ref="I132">INDEX(Nomenclature[],MATCH(Actions[[#This Row],[Libellé court Fidji ACT 
(choisir d''abord la famille)]],Nomenclature[Libellé court type d''action],0),COLUMN(Nomenclature[A suivre avec le mainteneur]))</f>
        <v xml:space="preserve"> </v>
      </c>
      <c r="J132" s="7" t="str" cm="1">
        <f t="array" ref="J132">INDEX(Nomenclature[],MATCH(Actions[[#This Row],[Libellé court Fidji ACT 
(choisir d''abord la famille)]],Nomenclature[Libellé court type d''action],0),COLUMN(Nomenclature[A suivre avec le propriétaire]))</f>
        <v xml:space="preserve"> </v>
      </c>
      <c r="K132" s="7"/>
      <c r="L132" s="112" t="s">
        <v>533</v>
      </c>
      <c r="M132" s="7"/>
      <c r="N132" s="7" t="str" cm="1">
        <f t="array" ref="N132">INDEX(Nomenclature[],MATCH(Actions[[#This Row],[Libellé court Fidji ACT 
(choisir d''abord la famille)]],Nomenclature[Libellé court type d''action],0),COLUMN(Nomenclature[Quick win]))</f>
        <v>Quick win</v>
      </c>
      <c r="O132" s="8"/>
      <c r="P132" s="8"/>
      <c r="Q132" s="8"/>
      <c r="R132" s="8"/>
      <c r="S132" s="8"/>
      <c r="T132" s="8"/>
      <c r="U132" s="8"/>
      <c r="V132" s="112" t="s">
        <v>533</v>
      </c>
      <c r="W132" s="11" t="s">
        <v>430</v>
      </c>
      <c r="X132" s="11"/>
      <c r="Y132" s="7"/>
      <c r="Z132" s="7"/>
      <c r="AA132" s="7" t="str" cm="1">
        <f t="array" ref="AA132">INDEX(Nomenclature[],MATCH(Actions[[#This Row],[Libellé court Fidji ACT 
(choisir d''abord la famille)]],Nomenclature[Libellé court type d''action],0),COLUMN(Nomenclature[Classe d''activité de référence]))</f>
        <v>-</v>
      </c>
      <c r="AB132" s="12"/>
      <c r="AC132" s="112" t="s">
        <v>533</v>
      </c>
      <c r="AD132" s="12"/>
      <c r="AE132" s="12"/>
      <c r="AF132" s="112" t="s">
        <v>533</v>
      </c>
    </row>
    <row r="133" spans="1:32" ht="55.2" customHeight="1">
      <c r="A133" s="31" t="s">
        <v>155</v>
      </c>
      <c r="B133" s="29" t="s">
        <v>292</v>
      </c>
      <c r="C133" s="101" t="str">
        <f>INDEX(Nomenclature[],MATCH(Actions[[#This Row],[Libellé court Fidji ACT 
(choisir d''abord la famille)]],Nomenclature[Libellé court type d''action],0),2)</f>
        <v>Installer / maintenir des IRVE (Installation Recharge Véhicules Electriques)</v>
      </c>
      <c r="D133" s="31" t="s">
        <v>160</v>
      </c>
      <c r="E133" s="7" t="s">
        <v>430</v>
      </c>
      <c r="F133" s="158"/>
      <c r="G133" s="7"/>
      <c r="H133" s="7"/>
      <c r="I133" s="7" t="str" cm="1">
        <f t="array" ref="I133">INDEX(Nomenclature[],MATCH(Actions[[#This Row],[Libellé court Fidji ACT 
(choisir d''abord la famille)]],Nomenclature[Libellé court type d''action],0),COLUMN(Nomenclature[A suivre avec le mainteneur]))</f>
        <v xml:space="preserve"> </v>
      </c>
      <c r="J133" s="7" t="str" cm="1">
        <f t="array" ref="J133">INDEX(Nomenclature[],MATCH(Actions[[#This Row],[Libellé court Fidji ACT 
(choisir d''abord la famille)]],Nomenclature[Libellé court type d''action],0),COLUMN(Nomenclature[A suivre avec le propriétaire]))</f>
        <v xml:space="preserve"> </v>
      </c>
      <c r="K133" s="7"/>
      <c r="L133" s="112" t="s">
        <v>533</v>
      </c>
      <c r="M133" s="7"/>
      <c r="N133" s="7" t="str" cm="1">
        <f t="array" ref="N133">INDEX(Nomenclature[],MATCH(Actions[[#This Row],[Libellé court Fidji ACT 
(choisir d''abord la famille)]],Nomenclature[Libellé court type d''action],0),COLUMN(Nomenclature[Quick win]))</f>
        <v>Rénovation légère</v>
      </c>
      <c r="O133" s="8"/>
      <c r="P133" s="8"/>
      <c r="Q133" s="8"/>
      <c r="R133" s="8"/>
      <c r="S133" s="8"/>
      <c r="T133" s="8"/>
      <c r="U133" s="8"/>
      <c r="V133" s="112" t="s">
        <v>533</v>
      </c>
      <c r="W133" s="11" t="s">
        <v>430</v>
      </c>
      <c r="X133" s="11"/>
      <c r="Y133" s="7"/>
      <c r="Z133" s="7"/>
      <c r="AA133" s="7" t="str" cm="1">
        <f t="array" ref="AA133">INDEX(Nomenclature[],MATCH(Actions[[#This Row],[Libellé court Fidji ACT 
(choisir d''abord la famille)]],Nomenclature[Libellé court type d''action],0),COLUMN(Nomenclature[Classe d''activité de référence]))</f>
        <v>7.4</v>
      </c>
      <c r="AB133" s="12"/>
      <c r="AC133" s="112" t="s">
        <v>533</v>
      </c>
      <c r="AD133" s="12"/>
      <c r="AE133" s="12"/>
      <c r="AF133" s="112" t="s">
        <v>533</v>
      </c>
    </row>
    <row r="134" spans="1:32" ht="55.2" customHeight="1">
      <c r="A134" s="31" t="s">
        <v>155</v>
      </c>
      <c r="B134" s="29" t="s">
        <v>293</v>
      </c>
      <c r="C134" s="101" t="str">
        <f>INDEX(Nomenclature[],MATCH(Actions[[#This Row],[Libellé court Fidji ACT 
(choisir d''abord la famille)]],Nomenclature[Libellé court type d''action],0),2)</f>
        <v>Mettre en œuvre  des solutions d’autopartage</v>
      </c>
      <c r="D134" s="31" t="s">
        <v>161</v>
      </c>
      <c r="E134" s="7" t="s">
        <v>430</v>
      </c>
      <c r="F134" s="158"/>
      <c r="G134" s="7"/>
      <c r="H134" s="7"/>
      <c r="I134" s="7" t="str" cm="1">
        <f t="array" ref="I134">INDEX(Nomenclature[],MATCH(Actions[[#This Row],[Libellé court Fidji ACT 
(choisir d''abord la famille)]],Nomenclature[Libellé court type d''action],0),COLUMN(Nomenclature[A suivre avec le mainteneur]))</f>
        <v xml:space="preserve"> </v>
      </c>
      <c r="J134" s="7" t="str" cm="1">
        <f t="array" ref="J134">INDEX(Nomenclature[],MATCH(Actions[[#This Row],[Libellé court Fidji ACT 
(choisir d''abord la famille)]],Nomenclature[Libellé court type d''action],0),COLUMN(Nomenclature[A suivre avec le propriétaire]))</f>
        <v xml:space="preserve"> </v>
      </c>
      <c r="K134" s="7"/>
      <c r="L134" s="112" t="s">
        <v>533</v>
      </c>
      <c r="M134" s="7"/>
      <c r="N134" s="7" t="str" cm="1">
        <f t="array" ref="N134">INDEX(Nomenclature[],MATCH(Actions[[#This Row],[Libellé court Fidji ACT 
(choisir d''abord la famille)]],Nomenclature[Libellé court type d''action],0),COLUMN(Nomenclature[Quick win]))</f>
        <v>Quick win</v>
      </c>
      <c r="O134" s="8"/>
      <c r="P134" s="8"/>
      <c r="Q134" s="8"/>
      <c r="R134" s="8"/>
      <c r="S134" s="8"/>
      <c r="T134" s="8"/>
      <c r="U134" s="8"/>
      <c r="V134" s="112" t="s">
        <v>533</v>
      </c>
      <c r="W134" s="11" t="s">
        <v>430</v>
      </c>
      <c r="X134" s="11"/>
      <c r="Y134" s="7"/>
      <c r="Z134" s="7"/>
      <c r="AA134" s="7" t="str" cm="1">
        <f t="array" ref="AA134">INDEX(Nomenclature[],MATCH(Actions[[#This Row],[Libellé court Fidji ACT 
(choisir d''abord la famille)]],Nomenclature[Libellé court type d''action],0),COLUMN(Nomenclature[Classe d''activité de référence]))</f>
        <v>-</v>
      </c>
      <c r="AB134" s="12"/>
      <c r="AC134" s="112" t="s">
        <v>533</v>
      </c>
      <c r="AD134" s="12"/>
      <c r="AE134" s="12"/>
      <c r="AF134" s="112" t="s">
        <v>533</v>
      </c>
    </row>
    <row r="135" spans="1:32" ht="55.2" customHeight="1">
      <c r="A135" s="31" t="s">
        <v>155</v>
      </c>
      <c r="B135" s="29" t="s">
        <v>294</v>
      </c>
      <c r="C135" s="101" t="str">
        <f>INDEX(Nomenclature[],MATCH(Actions[[#This Row],[Libellé court Fidji ACT 
(choisir d''abord la famille)]],Nomenclature[Libellé court type d''action],0),2)</f>
        <v>Communiquer sur le plan de mobilité</v>
      </c>
      <c r="D135" s="31" t="s">
        <v>162</v>
      </c>
      <c r="E135" s="7" t="s">
        <v>430</v>
      </c>
      <c r="F135" s="158"/>
      <c r="G135" s="7"/>
      <c r="H135" s="7"/>
      <c r="I135" s="7" t="str" cm="1">
        <f t="array" ref="I135">INDEX(Nomenclature[],MATCH(Actions[[#This Row],[Libellé court Fidji ACT 
(choisir d''abord la famille)]],Nomenclature[Libellé court type d''action],0),COLUMN(Nomenclature[A suivre avec le mainteneur]))</f>
        <v xml:space="preserve"> </v>
      </c>
      <c r="J135" s="7" t="str" cm="1">
        <f t="array" ref="J135">INDEX(Nomenclature[],MATCH(Actions[[#This Row],[Libellé court Fidji ACT 
(choisir d''abord la famille)]],Nomenclature[Libellé court type d''action],0),COLUMN(Nomenclature[A suivre avec le propriétaire]))</f>
        <v xml:space="preserve"> </v>
      </c>
      <c r="K135" s="7"/>
      <c r="L135" s="112" t="s">
        <v>533</v>
      </c>
      <c r="M135" s="7"/>
      <c r="N135" s="7" t="str" cm="1">
        <f t="array" ref="N135">INDEX(Nomenclature[],MATCH(Actions[[#This Row],[Libellé court Fidji ACT 
(choisir d''abord la famille)]],Nomenclature[Libellé court type d''action],0),COLUMN(Nomenclature[Quick win]))</f>
        <v>Quick win</v>
      </c>
      <c r="O135" s="8"/>
      <c r="P135" s="8"/>
      <c r="Q135" s="8"/>
      <c r="R135" s="8"/>
      <c r="S135" s="8"/>
      <c r="T135" s="8"/>
      <c r="U135" s="8"/>
      <c r="V135" s="112" t="s">
        <v>533</v>
      </c>
      <c r="W135" s="11" t="s">
        <v>430</v>
      </c>
      <c r="X135" s="11"/>
      <c r="Y135" s="7"/>
      <c r="Z135" s="7"/>
      <c r="AA135" s="7" t="str" cm="1">
        <f t="array" ref="AA135">INDEX(Nomenclature[],MATCH(Actions[[#This Row],[Libellé court Fidji ACT 
(choisir d''abord la famille)]],Nomenclature[Libellé court type d''action],0),COLUMN(Nomenclature[Classe d''activité de référence]))</f>
        <v>-</v>
      </c>
      <c r="AB135" s="12"/>
      <c r="AC135" s="112" t="s">
        <v>533</v>
      </c>
      <c r="AD135" s="12"/>
      <c r="AE135" s="12"/>
      <c r="AF135" s="112" t="s">
        <v>533</v>
      </c>
    </row>
    <row r="136" spans="1:32" ht="55.2" customHeight="1">
      <c r="A136" s="31" t="s">
        <v>164</v>
      </c>
      <c r="B136" s="29" t="s">
        <v>296</v>
      </c>
      <c r="C136" s="101" t="str">
        <f>INDEX(Nomenclature[],MATCH(Actions[[#This Row],[Libellé court Fidji ACT 
(choisir d''abord la famille)]],Nomenclature[Libellé court type d''action],0),2)</f>
        <v>Réaliser un audit pour identifier les types de déchets et les exutoires disponibles</v>
      </c>
      <c r="D136" s="31" t="s">
        <v>165</v>
      </c>
      <c r="E136" s="7" t="s">
        <v>430</v>
      </c>
      <c r="F136" s="158"/>
      <c r="G136" s="7"/>
      <c r="H136" s="7"/>
      <c r="I136" s="7" t="str" cm="1">
        <f t="array" ref="I136">INDEX(Nomenclature[],MATCH(Actions[[#This Row],[Libellé court Fidji ACT 
(choisir d''abord la famille)]],Nomenclature[Libellé court type d''action],0),COLUMN(Nomenclature[A suivre avec le mainteneur]))</f>
        <v xml:space="preserve"> </v>
      </c>
      <c r="J136" s="7" t="str" cm="1">
        <f t="array" ref="J136">INDEX(Nomenclature[],MATCH(Actions[[#This Row],[Libellé court Fidji ACT 
(choisir d''abord la famille)]],Nomenclature[Libellé court type d''action],0),COLUMN(Nomenclature[A suivre avec le propriétaire]))</f>
        <v xml:space="preserve"> </v>
      </c>
      <c r="K136" s="7"/>
      <c r="L136" s="112" t="s">
        <v>533</v>
      </c>
      <c r="M136" s="7"/>
      <c r="N136" s="7" t="str" cm="1">
        <f t="array" ref="N136">INDEX(Nomenclature[],MATCH(Actions[[#This Row],[Libellé court Fidji ACT 
(choisir d''abord la famille)]],Nomenclature[Libellé court type d''action],0),COLUMN(Nomenclature[Quick win]))</f>
        <v>Quick win</v>
      </c>
      <c r="O136" s="8"/>
      <c r="P136" s="8"/>
      <c r="Q136" s="8"/>
      <c r="R136" s="8"/>
      <c r="S136" s="8"/>
      <c r="T136" s="8"/>
      <c r="U136" s="8"/>
      <c r="V136" s="112" t="s">
        <v>533</v>
      </c>
      <c r="W136" s="11" t="s">
        <v>430</v>
      </c>
      <c r="X136" s="11"/>
      <c r="Y136" s="7"/>
      <c r="Z136" s="7"/>
      <c r="AA136" s="7" t="str" cm="1">
        <f t="array" ref="AA136">INDEX(Nomenclature[],MATCH(Actions[[#This Row],[Libellé court Fidji ACT 
(choisir d''abord la famille)]],Nomenclature[Libellé court type d''action],0),COLUMN(Nomenclature[Classe d''activité de référence]))</f>
        <v>-</v>
      </c>
      <c r="AB136" s="12"/>
      <c r="AC136" s="112" t="s">
        <v>533</v>
      </c>
      <c r="AD136" s="12"/>
      <c r="AE136" s="12"/>
      <c r="AF136" s="112" t="s">
        <v>533</v>
      </c>
    </row>
    <row r="137" spans="1:32" ht="55.2" customHeight="1">
      <c r="A137" s="31" t="s">
        <v>164</v>
      </c>
      <c r="B137" s="29" t="s">
        <v>297</v>
      </c>
      <c r="C137" s="101" t="str">
        <f>INDEX(Nomenclature[],MATCH(Actions[[#This Row],[Libellé court Fidji ACT 
(choisir d''abord la famille)]],Nomenclature[Libellé court type d''action],0),2)</f>
        <v>Suivre ratio d’intensité déchets du site - par ex. kg/occupant ou kg/m2 - et communiquer</v>
      </c>
      <c r="D137" s="31" t="s">
        <v>166</v>
      </c>
      <c r="E137" s="7" t="s">
        <v>430</v>
      </c>
      <c r="F137" s="158"/>
      <c r="G137" s="7"/>
      <c r="H137" s="7"/>
      <c r="I137" s="7" t="str" cm="1">
        <f t="array" ref="I137">INDEX(Nomenclature[],MATCH(Actions[[#This Row],[Libellé court Fidji ACT 
(choisir d''abord la famille)]],Nomenclature[Libellé court type d''action],0),COLUMN(Nomenclature[A suivre avec le mainteneur]))</f>
        <v xml:space="preserve"> </v>
      </c>
      <c r="J137" s="7" t="str" cm="1">
        <f t="array" ref="J137">INDEX(Nomenclature[],MATCH(Actions[[#This Row],[Libellé court Fidji ACT 
(choisir d''abord la famille)]],Nomenclature[Libellé court type d''action],0),COLUMN(Nomenclature[A suivre avec le propriétaire]))</f>
        <v xml:space="preserve"> </v>
      </c>
      <c r="K137" s="7"/>
      <c r="L137" s="112" t="s">
        <v>533</v>
      </c>
      <c r="M137" s="7"/>
      <c r="N137" s="7" t="str" cm="1">
        <f t="array" ref="N137">INDEX(Nomenclature[],MATCH(Actions[[#This Row],[Libellé court Fidji ACT 
(choisir d''abord la famille)]],Nomenclature[Libellé court type d''action],0),COLUMN(Nomenclature[Quick win]))</f>
        <v>Quick win</v>
      </c>
      <c r="O137" s="8"/>
      <c r="P137" s="8"/>
      <c r="Q137" s="8"/>
      <c r="R137" s="8"/>
      <c r="S137" s="8"/>
      <c r="T137" s="8"/>
      <c r="U137" s="8"/>
      <c r="V137" s="112" t="s">
        <v>533</v>
      </c>
      <c r="W137" s="11" t="s">
        <v>430</v>
      </c>
      <c r="X137" s="11"/>
      <c r="Y137" s="7"/>
      <c r="Z137" s="7"/>
      <c r="AA137" s="7" t="str" cm="1">
        <f t="array" ref="AA137">INDEX(Nomenclature[],MATCH(Actions[[#This Row],[Libellé court Fidji ACT 
(choisir d''abord la famille)]],Nomenclature[Libellé court type d''action],0),COLUMN(Nomenclature[Classe d''activité de référence]))</f>
        <v>-</v>
      </c>
      <c r="AB137" s="12"/>
      <c r="AC137" s="112" t="s">
        <v>533</v>
      </c>
      <c r="AD137" s="12"/>
      <c r="AE137" s="12"/>
      <c r="AF137" s="112" t="s">
        <v>533</v>
      </c>
    </row>
    <row r="138" spans="1:32" ht="55.2" customHeight="1">
      <c r="A138" s="31" t="s">
        <v>164</v>
      </c>
      <c r="B138" s="29" t="s">
        <v>298</v>
      </c>
      <c r="C138" s="101" t="str">
        <f>INDEX(Nomenclature[],MATCH(Actions[[#This Row],[Libellé court Fidji ACT 
(choisir d''abord la famille)]],Nomenclature[Libellé court type d''action],0),2)</f>
        <v>Organiser traitement de certains déchets in situ pour limiter le % envoyé en décharge</v>
      </c>
      <c r="D138" s="31" t="s">
        <v>167</v>
      </c>
      <c r="E138" s="7" t="s">
        <v>430</v>
      </c>
      <c r="F138" s="158"/>
      <c r="G138" s="7"/>
      <c r="H138" s="7"/>
      <c r="I138" s="7" t="str" cm="1">
        <f t="array" ref="I138">INDEX(Nomenclature[],MATCH(Actions[[#This Row],[Libellé court Fidji ACT 
(choisir d''abord la famille)]],Nomenclature[Libellé court type d''action],0),COLUMN(Nomenclature[A suivre avec le mainteneur]))</f>
        <v xml:space="preserve"> </v>
      </c>
      <c r="J138" s="7" t="str" cm="1">
        <f t="array" ref="J138">INDEX(Nomenclature[],MATCH(Actions[[#This Row],[Libellé court Fidji ACT 
(choisir d''abord la famille)]],Nomenclature[Libellé court type d''action],0),COLUMN(Nomenclature[A suivre avec le propriétaire]))</f>
        <v xml:space="preserve"> </v>
      </c>
      <c r="K138" s="7"/>
      <c r="L138" s="112" t="s">
        <v>533</v>
      </c>
      <c r="M138" s="7"/>
      <c r="N138" s="7" t="str" cm="1">
        <f t="array" ref="N138">INDEX(Nomenclature[],MATCH(Actions[[#This Row],[Libellé court Fidji ACT 
(choisir d''abord la famille)]],Nomenclature[Libellé court type d''action],0),COLUMN(Nomenclature[Quick win]))</f>
        <v>Quick win</v>
      </c>
      <c r="O138" s="8"/>
      <c r="P138" s="8"/>
      <c r="Q138" s="8"/>
      <c r="R138" s="8"/>
      <c r="S138" s="8"/>
      <c r="T138" s="8"/>
      <c r="U138" s="8"/>
      <c r="V138" s="112" t="s">
        <v>533</v>
      </c>
      <c r="W138" s="11" t="s">
        <v>430</v>
      </c>
      <c r="X138" s="11"/>
      <c r="Y138" s="7"/>
      <c r="Z138" s="7"/>
      <c r="AA138" s="7" t="str" cm="1">
        <f t="array" ref="AA138">INDEX(Nomenclature[],MATCH(Actions[[#This Row],[Libellé court Fidji ACT 
(choisir d''abord la famille)]],Nomenclature[Libellé court type d''action],0),COLUMN(Nomenclature[Classe d''activité de référence]))</f>
        <v>-</v>
      </c>
      <c r="AB138" s="12"/>
      <c r="AC138" s="112" t="s">
        <v>533</v>
      </c>
      <c r="AD138" s="12"/>
      <c r="AE138" s="12"/>
      <c r="AF138" s="112" t="s">
        <v>533</v>
      </c>
    </row>
    <row r="139" spans="1:32" ht="55.2" customHeight="1">
      <c r="A139" s="31" t="s">
        <v>164</v>
      </c>
      <c r="B139" s="29" t="s">
        <v>299</v>
      </c>
      <c r="C139" s="101" t="str">
        <f>INDEX(Nomenclature[],MATCH(Actions[[#This Row],[Libellé court Fidji ACT 
(choisir d''abord la famille)]],Nomenclature[Libellé court type d''action],0),2)</f>
        <v>Sensibiliser les utilisateurs du site à la limitation de production de déchets et au recyclage</v>
      </c>
      <c r="D139" s="31" t="s">
        <v>168</v>
      </c>
      <c r="E139" s="7" t="s">
        <v>430</v>
      </c>
      <c r="F139" s="158"/>
      <c r="G139" s="7"/>
      <c r="H139" s="7"/>
      <c r="I139" s="7" t="str" cm="1">
        <f t="array" ref="I139">INDEX(Nomenclature[],MATCH(Actions[[#This Row],[Libellé court Fidji ACT 
(choisir d''abord la famille)]],Nomenclature[Libellé court type d''action],0),COLUMN(Nomenclature[A suivre avec le mainteneur]))</f>
        <v xml:space="preserve"> </v>
      </c>
      <c r="J139" s="7" t="str" cm="1">
        <f t="array" ref="J139">INDEX(Nomenclature[],MATCH(Actions[[#This Row],[Libellé court Fidji ACT 
(choisir d''abord la famille)]],Nomenclature[Libellé court type d''action],0),COLUMN(Nomenclature[A suivre avec le propriétaire]))</f>
        <v xml:space="preserve"> </v>
      </c>
      <c r="K139" s="7"/>
      <c r="L139" s="112" t="s">
        <v>533</v>
      </c>
      <c r="M139" s="7"/>
      <c r="N139" s="7" t="str" cm="1">
        <f t="array" ref="N139">INDEX(Nomenclature[],MATCH(Actions[[#This Row],[Libellé court Fidji ACT 
(choisir d''abord la famille)]],Nomenclature[Libellé court type d''action],0),COLUMN(Nomenclature[Quick win]))</f>
        <v>Quick win</v>
      </c>
      <c r="O139" s="8"/>
      <c r="P139" s="8"/>
      <c r="Q139" s="8"/>
      <c r="R139" s="8"/>
      <c r="S139" s="8"/>
      <c r="T139" s="8"/>
      <c r="U139" s="8"/>
      <c r="V139" s="112" t="s">
        <v>533</v>
      </c>
      <c r="W139" s="11" t="s">
        <v>430</v>
      </c>
      <c r="X139" s="11"/>
      <c r="Y139" s="7"/>
      <c r="Z139" s="7"/>
      <c r="AA139" s="7" t="str" cm="1">
        <f t="array" ref="AA139">INDEX(Nomenclature[],MATCH(Actions[[#This Row],[Libellé court Fidji ACT 
(choisir d''abord la famille)]],Nomenclature[Libellé court type d''action],0),COLUMN(Nomenclature[Classe d''activité de référence]))</f>
        <v>-</v>
      </c>
      <c r="AB139" s="12"/>
      <c r="AC139" s="112" t="s">
        <v>533</v>
      </c>
      <c r="AD139" s="12"/>
      <c r="AE139" s="12"/>
      <c r="AF139" s="112" t="s">
        <v>533</v>
      </c>
    </row>
    <row r="140" spans="1:32" ht="55.2" customHeight="1">
      <c r="A140" s="31" t="s">
        <v>164</v>
      </c>
      <c r="B140" s="29" t="s">
        <v>300</v>
      </c>
      <c r="C140" s="101" t="str">
        <f>INDEX(Nomenclature[],MATCH(Actions[[#This Row],[Libellé court Fidji ACT 
(choisir d''abord la famille)]],Nomenclature[Libellé court type d''action],0),2)</f>
        <v>Inciter financièrement les utilisateurs du site à réduire leurs déchets / à augmenter le tri</v>
      </c>
      <c r="D140" s="31" t="s">
        <v>169</v>
      </c>
      <c r="E140" s="7" t="s">
        <v>430</v>
      </c>
      <c r="F140" s="158"/>
      <c r="G140" s="7"/>
      <c r="H140" s="7"/>
      <c r="I140" s="7" t="str" cm="1">
        <f t="array" ref="I140">INDEX(Nomenclature[],MATCH(Actions[[#This Row],[Libellé court Fidji ACT 
(choisir d''abord la famille)]],Nomenclature[Libellé court type d''action],0),COLUMN(Nomenclature[A suivre avec le mainteneur]))</f>
        <v xml:space="preserve"> </v>
      </c>
      <c r="J140" s="7" t="str" cm="1">
        <f t="array" ref="J140">INDEX(Nomenclature[],MATCH(Actions[[#This Row],[Libellé court Fidji ACT 
(choisir d''abord la famille)]],Nomenclature[Libellé court type d''action],0),COLUMN(Nomenclature[A suivre avec le propriétaire]))</f>
        <v xml:space="preserve"> </v>
      </c>
      <c r="K140" s="7"/>
      <c r="L140" s="112" t="s">
        <v>533</v>
      </c>
      <c r="M140" s="7"/>
      <c r="N140" s="7" t="str" cm="1">
        <f t="array" ref="N140">INDEX(Nomenclature[],MATCH(Actions[[#This Row],[Libellé court Fidji ACT 
(choisir d''abord la famille)]],Nomenclature[Libellé court type d''action],0),COLUMN(Nomenclature[Quick win]))</f>
        <v>Quick win</v>
      </c>
      <c r="O140" s="8"/>
      <c r="P140" s="8"/>
      <c r="Q140" s="8"/>
      <c r="R140" s="8"/>
      <c r="S140" s="8"/>
      <c r="T140" s="8"/>
      <c r="U140" s="8"/>
      <c r="V140" s="112" t="s">
        <v>533</v>
      </c>
      <c r="W140" s="11" t="s">
        <v>430</v>
      </c>
      <c r="X140" s="11"/>
      <c r="Y140" s="7"/>
      <c r="Z140" s="7"/>
      <c r="AA140" s="7" t="str" cm="1">
        <f t="array" ref="AA140">INDEX(Nomenclature[],MATCH(Actions[[#This Row],[Libellé court Fidji ACT 
(choisir d''abord la famille)]],Nomenclature[Libellé court type d''action],0),COLUMN(Nomenclature[Classe d''activité de référence]))</f>
        <v>-</v>
      </c>
      <c r="AB140" s="12"/>
      <c r="AC140" s="112" t="s">
        <v>533</v>
      </c>
      <c r="AD140" s="12"/>
      <c r="AE140" s="12"/>
      <c r="AF140" s="112" t="s">
        <v>533</v>
      </c>
    </row>
    <row r="141" spans="1:32" ht="55.2" customHeight="1">
      <c r="A141" s="31" t="s">
        <v>164</v>
      </c>
      <c r="B141" s="29" t="s">
        <v>301</v>
      </c>
      <c r="C141" s="101" t="str">
        <f>INDEX(Nomenclature[],MATCH(Actions[[#This Row],[Libellé court Fidji ACT 
(choisir d''abord la famille)]],Nomenclature[Libellé court type d''action],0),2)</f>
        <v>Favoriser le réemploi, par exemple réemploi de mobilier lors d’un réaménagement de bureaux</v>
      </c>
      <c r="D141" s="31" t="s">
        <v>170</v>
      </c>
      <c r="E141" s="7" t="s">
        <v>430</v>
      </c>
      <c r="F141" s="158"/>
      <c r="G141" s="7"/>
      <c r="H141" s="7"/>
      <c r="I141" s="7" t="str" cm="1">
        <f t="array" ref="I141">INDEX(Nomenclature[],MATCH(Actions[[#This Row],[Libellé court Fidji ACT 
(choisir d''abord la famille)]],Nomenclature[Libellé court type d''action],0),COLUMN(Nomenclature[A suivre avec le mainteneur]))</f>
        <v xml:space="preserve"> </v>
      </c>
      <c r="J141" s="7" t="str" cm="1">
        <f t="array" ref="J141">INDEX(Nomenclature[],MATCH(Actions[[#This Row],[Libellé court Fidji ACT 
(choisir d''abord la famille)]],Nomenclature[Libellé court type d''action],0),COLUMN(Nomenclature[A suivre avec le propriétaire]))</f>
        <v xml:space="preserve"> </v>
      </c>
      <c r="K141" s="7"/>
      <c r="L141" s="112" t="s">
        <v>533</v>
      </c>
      <c r="M141" s="7"/>
      <c r="N141" s="7" t="str" cm="1">
        <f t="array" ref="N141">INDEX(Nomenclature[],MATCH(Actions[[#This Row],[Libellé court Fidji ACT 
(choisir d''abord la famille)]],Nomenclature[Libellé court type d''action],0),COLUMN(Nomenclature[Quick win]))</f>
        <v>Quick win</v>
      </c>
      <c r="O141" s="8"/>
      <c r="P141" s="8"/>
      <c r="Q141" s="8"/>
      <c r="R141" s="8"/>
      <c r="S141" s="8"/>
      <c r="T141" s="8"/>
      <c r="U141" s="8"/>
      <c r="V141" s="112" t="s">
        <v>533</v>
      </c>
      <c r="W141" s="11" t="s">
        <v>430</v>
      </c>
      <c r="X141" s="11"/>
      <c r="Y141" s="7"/>
      <c r="Z141" s="7"/>
      <c r="AA141" s="7" t="str" cm="1">
        <f t="array" ref="AA141">INDEX(Nomenclature[],MATCH(Actions[[#This Row],[Libellé court Fidji ACT 
(choisir d''abord la famille)]],Nomenclature[Libellé court type d''action],0),COLUMN(Nomenclature[Classe d''activité de référence]))</f>
        <v>-</v>
      </c>
      <c r="AB141" s="12"/>
      <c r="AC141" s="112" t="s">
        <v>533</v>
      </c>
      <c r="AD141" s="12"/>
      <c r="AE141" s="12"/>
      <c r="AF141" s="112" t="s">
        <v>533</v>
      </c>
    </row>
    <row r="142" spans="1:32" ht="55.2" customHeight="1">
      <c r="A142" s="31" t="s">
        <v>164</v>
      </c>
      <c r="B142" s="29" t="s">
        <v>302</v>
      </c>
      <c r="C142" s="101" t="str">
        <f>INDEX(Nomenclature[],MATCH(Actions[[#This Row],[Libellé court Fidji ACT 
(choisir d''abord la famille)]],Nomenclature[Libellé court type d''action],0),2)</f>
        <v xml:space="preserve">Organiser l’utilisation systématique de contenants &amp; couverts réutilisables </v>
      </c>
      <c r="D142" s="31" t="s">
        <v>171</v>
      </c>
      <c r="E142" s="7" t="s">
        <v>430</v>
      </c>
      <c r="F142" s="158"/>
      <c r="G142" s="7"/>
      <c r="H142" s="7"/>
      <c r="I142" s="7" t="str" cm="1">
        <f t="array" ref="I142">INDEX(Nomenclature[],MATCH(Actions[[#This Row],[Libellé court Fidji ACT 
(choisir d''abord la famille)]],Nomenclature[Libellé court type d''action],0),COLUMN(Nomenclature[A suivre avec le mainteneur]))</f>
        <v xml:space="preserve"> </v>
      </c>
      <c r="J142" s="7" t="str" cm="1">
        <f t="array" ref="J142">INDEX(Nomenclature[],MATCH(Actions[[#This Row],[Libellé court Fidji ACT 
(choisir d''abord la famille)]],Nomenclature[Libellé court type d''action],0),COLUMN(Nomenclature[A suivre avec le propriétaire]))</f>
        <v xml:space="preserve"> </v>
      </c>
      <c r="K142" s="7"/>
      <c r="L142" s="112" t="s">
        <v>533</v>
      </c>
      <c r="M142" s="7"/>
      <c r="N142" s="7" t="str" cm="1">
        <f t="array" ref="N142">INDEX(Nomenclature[],MATCH(Actions[[#This Row],[Libellé court Fidji ACT 
(choisir d''abord la famille)]],Nomenclature[Libellé court type d''action],0),COLUMN(Nomenclature[Quick win]))</f>
        <v>Quick win</v>
      </c>
      <c r="O142" s="8"/>
      <c r="P142" s="8"/>
      <c r="Q142" s="8"/>
      <c r="R142" s="8"/>
      <c r="S142" s="8"/>
      <c r="T142" s="8"/>
      <c r="U142" s="8"/>
      <c r="V142" s="112" t="s">
        <v>533</v>
      </c>
      <c r="W142" s="11" t="s">
        <v>430</v>
      </c>
      <c r="X142" s="11"/>
      <c r="Y142" s="7"/>
      <c r="Z142" s="7"/>
      <c r="AA142" s="7" t="str" cm="1">
        <f t="array" ref="AA142">INDEX(Nomenclature[],MATCH(Actions[[#This Row],[Libellé court Fidji ACT 
(choisir d''abord la famille)]],Nomenclature[Libellé court type d''action],0),COLUMN(Nomenclature[Classe d''activité de référence]))</f>
        <v>-</v>
      </c>
      <c r="AB142" s="12"/>
      <c r="AC142" s="112" t="s">
        <v>533</v>
      </c>
      <c r="AD142" s="12"/>
      <c r="AE142" s="12"/>
      <c r="AF142" s="112" t="s">
        <v>533</v>
      </c>
    </row>
    <row r="143" spans="1:32" ht="55.2" customHeight="1">
      <c r="A143" s="31" t="s">
        <v>173</v>
      </c>
      <c r="B143" s="29" t="s">
        <v>304</v>
      </c>
      <c r="C143" s="101" t="str">
        <f>INDEX(Nomenclature[],MATCH(Actions[[#This Row],[Libellé court Fidji ACT 
(choisir d''abord la famille)]],Nomenclature[Libellé court type d''action],0),2)</f>
        <v>Réaliser une étude globale d'exposition aux risques climatiques, sans visite sur site</v>
      </c>
      <c r="D143" s="31" t="s">
        <v>174</v>
      </c>
      <c r="E143" s="7" t="s">
        <v>430</v>
      </c>
      <c r="F143" s="158"/>
      <c r="G143" s="7"/>
      <c r="H143" s="7"/>
      <c r="I143" s="7" t="str" cm="1">
        <f t="array" ref="I143">INDEX(Nomenclature[],MATCH(Actions[[#This Row],[Libellé court Fidji ACT 
(choisir d''abord la famille)]],Nomenclature[Libellé court type d''action],0),COLUMN(Nomenclature[A suivre avec le mainteneur]))</f>
        <v xml:space="preserve"> </v>
      </c>
      <c r="J143" s="7" t="str" cm="1">
        <f t="array" ref="J143">INDEX(Nomenclature[],MATCH(Actions[[#This Row],[Libellé court Fidji ACT 
(choisir d''abord la famille)]],Nomenclature[Libellé court type d''action],0),COLUMN(Nomenclature[A suivre avec le propriétaire]))</f>
        <v xml:space="preserve"> </v>
      </c>
      <c r="K143" s="7"/>
      <c r="L143" s="112" t="s">
        <v>533</v>
      </c>
      <c r="M143" s="7"/>
      <c r="N143" s="7" t="str" cm="1">
        <f t="array" ref="N143">INDEX(Nomenclature[],MATCH(Actions[[#This Row],[Libellé court Fidji ACT 
(choisir d''abord la famille)]],Nomenclature[Libellé court type d''action],0),COLUMN(Nomenclature[Quick win]))</f>
        <v>Quick win</v>
      </c>
      <c r="O143" s="8"/>
      <c r="P143" s="8"/>
      <c r="Q143" s="8"/>
      <c r="R143" s="8"/>
      <c r="S143" s="8"/>
      <c r="T143" s="8"/>
      <c r="U143" s="8"/>
      <c r="V143" s="112" t="s">
        <v>533</v>
      </c>
      <c r="W143" s="11" t="s">
        <v>430</v>
      </c>
      <c r="X143" s="11"/>
      <c r="Y143" s="7"/>
      <c r="Z143" s="7"/>
      <c r="AA143" s="7" t="str" cm="1">
        <f t="array" ref="AA143">INDEX(Nomenclature[],MATCH(Actions[[#This Row],[Libellé court Fidji ACT 
(choisir d''abord la famille)]],Nomenclature[Libellé court type d''action],0),COLUMN(Nomenclature[Classe d''activité de référence]))</f>
        <v>-</v>
      </c>
      <c r="AB143" s="12"/>
      <c r="AC143" s="112" t="s">
        <v>533</v>
      </c>
      <c r="AD143" s="12"/>
      <c r="AE143" s="12"/>
      <c r="AF143" s="112" t="s">
        <v>533</v>
      </c>
    </row>
    <row r="144" spans="1:32" ht="55.2" customHeight="1">
      <c r="A144" s="31" t="s">
        <v>173</v>
      </c>
      <c r="B144" s="29" t="s">
        <v>305</v>
      </c>
      <c r="C144" s="101" t="str">
        <f>INDEX(Nomenclature[],MATCH(Actions[[#This Row],[Libellé court Fidji ACT 
(choisir d''abord la famille)]],Nomenclature[Libellé court type d''action],0),2)</f>
        <v>Réaliser un audit sur site de résilience de l’actif (îlots de chaleur, inondation, …)</v>
      </c>
      <c r="D144" s="31" t="s">
        <v>175</v>
      </c>
      <c r="E144" s="7" t="s">
        <v>430</v>
      </c>
      <c r="F144" s="158"/>
      <c r="G144" s="7"/>
      <c r="H144" s="7"/>
      <c r="I144" s="7" t="str" cm="1">
        <f t="array" ref="I144">INDEX(Nomenclature[],MATCH(Actions[[#This Row],[Libellé court Fidji ACT 
(choisir d''abord la famille)]],Nomenclature[Libellé court type d''action],0),COLUMN(Nomenclature[A suivre avec le mainteneur]))</f>
        <v xml:space="preserve"> </v>
      </c>
      <c r="J144" s="7" t="str" cm="1">
        <f t="array" ref="J144">INDEX(Nomenclature[],MATCH(Actions[[#This Row],[Libellé court Fidji ACT 
(choisir d''abord la famille)]],Nomenclature[Libellé court type d''action],0),COLUMN(Nomenclature[A suivre avec le propriétaire]))</f>
        <v xml:space="preserve"> </v>
      </c>
      <c r="K144" s="7"/>
      <c r="L144" s="112" t="s">
        <v>533</v>
      </c>
      <c r="M144" s="7"/>
      <c r="N144" s="7" t="str" cm="1">
        <f t="array" ref="N144">INDEX(Nomenclature[],MATCH(Actions[[#This Row],[Libellé court Fidji ACT 
(choisir d''abord la famille)]],Nomenclature[Libellé court type d''action],0),COLUMN(Nomenclature[Quick win]))</f>
        <v>Quick win</v>
      </c>
      <c r="O144" s="8"/>
      <c r="P144" s="8"/>
      <c r="Q144" s="8"/>
      <c r="R144" s="8"/>
      <c r="S144" s="8"/>
      <c r="T144" s="8"/>
      <c r="U144" s="8"/>
      <c r="V144" s="112" t="s">
        <v>533</v>
      </c>
      <c r="W144" s="11" t="s">
        <v>430</v>
      </c>
      <c r="X144" s="11"/>
      <c r="Y144" s="7"/>
      <c r="Z144" s="7"/>
      <c r="AA144" s="7" t="str" cm="1">
        <f t="array" ref="AA144">INDEX(Nomenclature[],MATCH(Actions[[#This Row],[Libellé court Fidji ACT 
(choisir d''abord la famille)]],Nomenclature[Libellé court type d''action],0),COLUMN(Nomenclature[Classe d''activité de référence]))</f>
        <v>-</v>
      </c>
      <c r="AB144" s="12"/>
      <c r="AC144" s="112" t="s">
        <v>533</v>
      </c>
      <c r="AD144" s="12"/>
      <c r="AE144" s="12"/>
      <c r="AF144" s="112" t="s">
        <v>533</v>
      </c>
    </row>
    <row r="145" spans="1:32" ht="55.2" customHeight="1">
      <c r="A145" s="31" t="s">
        <v>173</v>
      </c>
      <c r="B145" s="29" t="s">
        <v>396</v>
      </c>
      <c r="C145" s="101" t="str">
        <f>INDEX(Nomenclature[],MATCH(Actions[[#This Row],[Libellé court Fidji ACT 
(choisir d''abord la famille)]],Nomenclature[Libellé court type d''action],0),2)</f>
        <v>Mettre en place un plan de résilience du bâtiment et de continuité de l’activité</v>
      </c>
      <c r="D145" s="31" t="s">
        <v>176</v>
      </c>
      <c r="E145" s="7" t="s">
        <v>430</v>
      </c>
      <c r="F145" s="158"/>
      <c r="G145" s="7"/>
      <c r="H145" s="7"/>
      <c r="I145" s="7" t="str" cm="1">
        <f t="array" ref="I145">INDEX(Nomenclature[],MATCH(Actions[[#This Row],[Libellé court Fidji ACT 
(choisir d''abord la famille)]],Nomenclature[Libellé court type d''action],0),COLUMN(Nomenclature[A suivre avec le mainteneur]))</f>
        <v xml:space="preserve"> </v>
      </c>
      <c r="J145" s="7" t="str" cm="1">
        <f t="array" ref="J145">INDEX(Nomenclature[],MATCH(Actions[[#This Row],[Libellé court Fidji ACT 
(choisir d''abord la famille)]],Nomenclature[Libellé court type d''action],0),COLUMN(Nomenclature[A suivre avec le propriétaire]))</f>
        <v xml:space="preserve"> </v>
      </c>
      <c r="K145" s="7"/>
      <c r="L145" s="112" t="s">
        <v>533</v>
      </c>
      <c r="M145" s="7"/>
      <c r="N145" s="7" t="str" cm="1">
        <f t="array" ref="N145">INDEX(Nomenclature[],MATCH(Actions[[#This Row],[Libellé court Fidji ACT 
(choisir d''abord la famille)]],Nomenclature[Libellé court type d''action],0),COLUMN(Nomenclature[Quick win]))</f>
        <v>Quick win</v>
      </c>
      <c r="O145" s="8"/>
      <c r="P145" s="8"/>
      <c r="Q145" s="8"/>
      <c r="R145" s="8"/>
      <c r="S145" s="8"/>
      <c r="T145" s="8"/>
      <c r="U145" s="8"/>
      <c r="V145" s="112" t="s">
        <v>533</v>
      </c>
      <c r="W145" s="11" t="s">
        <v>430</v>
      </c>
      <c r="X145" s="11"/>
      <c r="Y145" s="7"/>
      <c r="Z145" s="7"/>
      <c r="AA145" s="7" t="str" cm="1">
        <f t="array" ref="AA145">INDEX(Nomenclature[],MATCH(Actions[[#This Row],[Libellé court Fidji ACT 
(choisir d''abord la famille)]],Nomenclature[Libellé court type d''action],0),COLUMN(Nomenclature[Classe d''activité de référence]))</f>
        <v>-</v>
      </c>
      <c r="AB145" s="12"/>
      <c r="AC145" s="112" t="s">
        <v>533</v>
      </c>
      <c r="AD145" s="12"/>
      <c r="AE145" s="12"/>
      <c r="AF145" s="112" t="s">
        <v>533</v>
      </c>
    </row>
    <row r="146" spans="1:32" ht="55.2" customHeight="1">
      <c r="A146" s="31" t="s">
        <v>173</v>
      </c>
      <c r="B146" s="29" t="s">
        <v>397</v>
      </c>
      <c r="C146" s="101" t="str">
        <f>INDEX(Nomenclature[],MATCH(Actions[[#This Row],[Libellé court Fidji ACT 
(choisir d''abord la famille)]],Nomenclature[Libellé court type d''action],0),2)</f>
        <v>Perméabiliser tout ou partie des surfaces de parking</v>
      </c>
      <c r="D146" s="31" t="s">
        <v>177</v>
      </c>
      <c r="E146" s="7" t="s">
        <v>430</v>
      </c>
      <c r="F146" s="158"/>
      <c r="G146" s="7"/>
      <c r="H146" s="7"/>
      <c r="I146" s="7" t="str" cm="1">
        <f t="array" ref="I146">INDEX(Nomenclature[],MATCH(Actions[[#This Row],[Libellé court Fidji ACT 
(choisir d''abord la famille)]],Nomenclature[Libellé court type d''action],0),COLUMN(Nomenclature[A suivre avec le mainteneur]))</f>
        <v xml:space="preserve"> </v>
      </c>
      <c r="J146" s="7" t="str" cm="1">
        <f t="array" ref="J146">INDEX(Nomenclature[],MATCH(Actions[[#This Row],[Libellé court Fidji ACT 
(choisir d''abord la famille)]],Nomenclature[Libellé court type d''action],0),COLUMN(Nomenclature[A suivre avec le propriétaire]))</f>
        <v>Propriétaire</v>
      </c>
      <c r="K146" s="7"/>
      <c r="L146" s="112" t="s">
        <v>533</v>
      </c>
      <c r="M146" s="7"/>
      <c r="N146" s="7" t="str" cm="1">
        <f t="array" ref="N146">INDEX(Nomenclature[],MATCH(Actions[[#This Row],[Libellé court Fidji ACT 
(choisir d''abord la famille)]],Nomenclature[Libellé court type d''action],0),COLUMN(Nomenclature[Quick win]))</f>
        <v>Rénovation légère</v>
      </c>
      <c r="O146" s="8"/>
      <c r="P146" s="8"/>
      <c r="Q146" s="8"/>
      <c r="R146" s="8"/>
      <c r="S146" s="8"/>
      <c r="T146" s="8"/>
      <c r="U146" s="8"/>
      <c r="V146" s="112" t="s">
        <v>533</v>
      </c>
      <c r="W146" s="11" t="s">
        <v>430</v>
      </c>
      <c r="X146" s="11"/>
      <c r="Y146" s="7"/>
      <c r="Z146" s="7"/>
      <c r="AA146" s="7" t="str" cm="1">
        <f t="array" ref="AA146">INDEX(Nomenclature[],MATCH(Actions[[#This Row],[Libellé court Fidji ACT 
(choisir d''abord la famille)]],Nomenclature[Libellé court type d''action],0),COLUMN(Nomenclature[Classe d''activité de référence]))</f>
        <v>-</v>
      </c>
      <c r="AB146" s="12"/>
      <c r="AC146" s="112" t="s">
        <v>533</v>
      </c>
      <c r="AD146" s="12"/>
      <c r="AE146" s="12"/>
      <c r="AF146" s="112" t="s">
        <v>533</v>
      </c>
    </row>
    <row r="147" spans="1:32" ht="55.2" customHeight="1">
      <c r="A147" s="31" t="s">
        <v>173</v>
      </c>
      <c r="B147" s="29" t="s">
        <v>398</v>
      </c>
      <c r="C147" s="101" t="str">
        <f>INDEX(Nomenclature[],MATCH(Actions[[#This Row],[Libellé court Fidji ACT 
(choisir d''abord la famille)]],Nomenclature[Libellé court type d''action],0),2)</f>
        <v>Créer espace ombragé sur zones piétons &amp; parking (arbres, ombrière végétale ou PV, …)</v>
      </c>
      <c r="D147" s="31" t="s">
        <v>178</v>
      </c>
      <c r="E147" s="7" t="s">
        <v>430</v>
      </c>
      <c r="F147" s="158"/>
      <c r="G147" s="7"/>
      <c r="H147" s="7"/>
      <c r="I147" s="7" t="str" cm="1">
        <f t="array" ref="I147">INDEX(Nomenclature[],MATCH(Actions[[#This Row],[Libellé court Fidji ACT 
(choisir d''abord la famille)]],Nomenclature[Libellé court type d''action],0),COLUMN(Nomenclature[A suivre avec le mainteneur]))</f>
        <v xml:space="preserve"> </v>
      </c>
      <c r="J147" s="7" t="str" cm="1">
        <f t="array" ref="J147">INDEX(Nomenclature[],MATCH(Actions[[#This Row],[Libellé court Fidji ACT 
(choisir d''abord la famille)]],Nomenclature[Libellé court type d''action],0),COLUMN(Nomenclature[A suivre avec le propriétaire]))</f>
        <v>Propriétaire</v>
      </c>
      <c r="K147" s="7"/>
      <c r="L147" s="112" t="s">
        <v>533</v>
      </c>
      <c r="M147" s="7"/>
      <c r="N147" s="7" t="str" cm="1">
        <f t="array" ref="N147">INDEX(Nomenclature[],MATCH(Actions[[#This Row],[Libellé court Fidji ACT 
(choisir d''abord la famille)]],Nomenclature[Libellé court type d''action],0),COLUMN(Nomenclature[Quick win]))</f>
        <v>Rénovation légère</v>
      </c>
      <c r="O147" s="8"/>
      <c r="P147" s="8"/>
      <c r="Q147" s="8"/>
      <c r="R147" s="8"/>
      <c r="S147" s="8"/>
      <c r="T147" s="8"/>
      <c r="U147" s="8"/>
      <c r="V147" s="112" t="s">
        <v>533</v>
      </c>
      <c r="W147" s="11" t="s">
        <v>430</v>
      </c>
      <c r="X147" s="11"/>
      <c r="Y147" s="7"/>
      <c r="Z147" s="7"/>
      <c r="AA147" s="7" t="str" cm="1">
        <f t="array" ref="AA147">INDEX(Nomenclature[],MATCH(Actions[[#This Row],[Libellé court Fidji ACT 
(choisir d''abord la famille)]],Nomenclature[Libellé court type d''action],0),COLUMN(Nomenclature[Classe d''activité de référence]))</f>
        <v>-</v>
      </c>
      <c r="AB147" s="12"/>
      <c r="AC147" s="112" t="s">
        <v>533</v>
      </c>
      <c r="AD147" s="12"/>
      <c r="AE147" s="12"/>
      <c r="AF147" s="112" t="s">
        <v>533</v>
      </c>
    </row>
    <row r="148" spans="1:32" ht="55.2" customHeight="1">
      <c r="A148" s="31" t="s">
        <v>173</v>
      </c>
      <c r="B148" s="29" t="s">
        <v>399</v>
      </c>
      <c r="C148" s="101" t="str">
        <f>INDEX(Nomenclature[],MATCH(Actions[[#This Row],[Libellé court Fidji ACT 
(choisir d''abord la famille)]],Nomenclature[Libellé court type d''action],0),2)</f>
        <v xml:space="preserve"> Créer ou améliorer les noues</v>
      </c>
      <c r="D148" s="31" t="s">
        <v>179</v>
      </c>
      <c r="E148" s="7" t="s">
        <v>430</v>
      </c>
      <c r="F148" s="158"/>
      <c r="G148" s="7"/>
      <c r="H148" s="7"/>
      <c r="I148" s="7" t="str" cm="1">
        <f t="array" ref="I148">INDEX(Nomenclature[],MATCH(Actions[[#This Row],[Libellé court Fidji ACT 
(choisir d''abord la famille)]],Nomenclature[Libellé court type d''action],0),COLUMN(Nomenclature[A suivre avec le mainteneur]))</f>
        <v xml:space="preserve"> </v>
      </c>
      <c r="J148" s="7" t="str" cm="1">
        <f t="array" ref="J148">INDEX(Nomenclature[],MATCH(Actions[[#This Row],[Libellé court Fidji ACT 
(choisir d''abord la famille)]],Nomenclature[Libellé court type d''action],0),COLUMN(Nomenclature[A suivre avec le propriétaire]))</f>
        <v>Propriétaire</v>
      </c>
      <c r="K148" s="7"/>
      <c r="L148" s="112" t="s">
        <v>533</v>
      </c>
      <c r="M148" s="7"/>
      <c r="N148" s="7" t="str" cm="1">
        <f t="array" ref="N148">INDEX(Nomenclature[],MATCH(Actions[[#This Row],[Libellé court Fidji ACT 
(choisir d''abord la famille)]],Nomenclature[Libellé court type d''action],0),COLUMN(Nomenclature[Quick win]))</f>
        <v>Rénovation légère</v>
      </c>
      <c r="O148" s="8"/>
      <c r="P148" s="8"/>
      <c r="Q148" s="8"/>
      <c r="R148" s="8"/>
      <c r="S148" s="8"/>
      <c r="T148" s="8"/>
      <c r="U148" s="8"/>
      <c r="V148" s="112" t="s">
        <v>533</v>
      </c>
      <c r="W148" s="11" t="s">
        <v>430</v>
      </c>
      <c r="X148" s="11"/>
      <c r="Y148" s="7"/>
      <c r="Z148" s="7"/>
      <c r="AA148" s="7" t="str" cm="1">
        <f t="array" ref="AA148">INDEX(Nomenclature[],MATCH(Actions[[#This Row],[Libellé court Fidji ACT 
(choisir d''abord la famille)]],Nomenclature[Libellé court type d''action],0),COLUMN(Nomenclature[Classe d''activité de référence]))</f>
        <v>-</v>
      </c>
      <c r="AB148" s="12"/>
      <c r="AC148" s="112" t="s">
        <v>533</v>
      </c>
      <c r="AD148" s="12"/>
      <c r="AE148" s="12"/>
      <c r="AF148" s="112" t="s">
        <v>533</v>
      </c>
    </row>
    <row r="149" spans="1:32" ht="55.2" customHeight="1">
      <c r="A149" s="31" t="s">
        <v>173</v>
      </c>
      <c r="B149" s="29" t="s">
        <v>400</v>
      </c>
      <c r="C149" s="101" t="str">
        <f>INDEX(Nomenclature[],MATCH(Actions[[#This Row],[Libellé court Fidji ACT 
(choisir d''abord la famille)]],Nomenclature[Libellé court type d''action],0),2)</f>
        <v xml:space="preserve"> Créer ou améliorer les bassins de rétention</v>
      </c>
      <c r="D149" s="31" t="s">
        <v>180</v>
      </c>
      <c r="E149" s="7" t="s">
        <v>430</v>
      </c>
      <c r="F149" s="158"/>
      <c r="G149" s="7"/>
      <c r="H149" s="7"/>
      <c r="I149" s="7" t="str" cm="1">
        <f t="array" ref="I149">INDEX(Nomenclature[],MATCH(Actions[[#This Row],[Libellé court Fidji ACT 
(choisir d''abord la famille)]],Nomenclature[Libellé court type d''action],0),COLUMN(Nomenclature[A suivre avec le mainteneur]))</f>
        <v xml:space="preserve"> </v>
      </c>
      <c r="J149" s="7" t="str" cm="1">
        <f t="array" ref="J149">INDEX(Nomenclature[],MATCH(Actions[[#This Row],[Libellé court Fidji ACT 
(choisir d''abord la famille)]],Nomenclature[Libellé court type d''action],0),COLUMN(Nomenclature[A suivre avec le propriétaire]))</f>
        <v>Propriétaire</v>
      </c>
      <c r="K149" s="7"/>
      <c r="L149" s="112" t="s">
        <v>533</v>
      </c>
      <c r="M149" s="7"/>
      <c r="N149" s="7" t="str" cm="1">
        <f t="array" ref="N149">INDEX(Nomenclature[],MATCH(Actions[[#This Row],[Libellé court Fidji ACT 
(choisir d''abord la famille)]],Nomenclature[Libellé court type d''action],0),COLUMN(Nomenclature[Quick win]))</f>
        <v>Rénovation légère</v>
      </c>
      <c r="O149" s="8"/>
      <c r="P149" s="8"/>
      <c r="Q149" s="8"/>
      <c r="R149" s="8"/>
      <c r="S149" s="8"/>
      <c r="T149" s="8"/>
      <c r="U149" s="8"/>
      <c r="V149" s="112" t="s">
        <v>533</v>
      </c>
      <c r="W149" s="11" t="s">
        <v>430</v>
      </c>
      <c r="X149" s="11"/>
      <c r="Y149" s="7"/>
      <c r="Z149" s="7"/>
      <c r="AA149" s="7" t="str" cm="1">
        <f t="array" ref="AA149">INDEX(Nomenclature[],MATCH(Actions[[#This Row],[Libellé court Fidji ACT 
(choisir d''abord la famille)]],Nomenclature[Libellé court type d''action],0),COLUMN(Nomenclature[Classe d''activité de référence]))</f>
        <v>-</v>
      </c>
      <c r="AB149" s="12"/>
      <c r="AC149" s="112" t="s">
        <v>533</v>
      </c>
      <c r="AD149" s="12"/>
      <c r="AE149" s="12"/>
      <c r="AF149" s="112" t="s">
        <v>533</v>
      </c>
    </row>
    <row r="150" spans="1:32" ht="55.2" customHeight="1">
      <c r="A150" s="31" t="s">
        <v>173</v>
      </c>
      <c r="B150" s="29" t="s">
        <v>401</v>
      </c>
      <c r="C150" s="101" t="str">
        <f>INDEX(Nomenclature[],MATCH(Actions[[#This Row],[Libellé court Fidji ACT 
(choisir d''abord la famille)]],Nomenclature[Libellé court type d''action],0),2)</f>
        <v>Effectuer diagnostic gestion de l’eau à la parcelle &amp; intensité de déconnexion au réseau</v>
      </c>
      <c r="D150" s="31" t="s">
        <v>181</v>
      </c>
      <c r="E150" s="7" t="s">
        <v>430</v>
      </c>
      <c r="F150" s="158"/>
      <c r="G150" s="7"/>
      <c r="H150" s="7"/>
      <c r="I150" s="7" t="str" cm="1">
        <f t="array" ref="I150">INDEX(Nomenclature[],MATCH(Actions[[#This Row],[Libellé court Fidji ACT 
(choisir d''abord la famille)]],Nomenclature[Libellé court type d''action],0),COLUMN(Nomenclature[A suivre avec le mainteneur]))</f>
        <v xml:space="preserve"> </v>
      </c>
      <c r="J150" s="7" t="str" cm="1">
        <f t="array" ref="J150">INDEX(Nomenclature[],MATCH(Actions[[#This Row],[Libellé court Fidji ACT 
(choisir d''abord la famille)]],Nomenclature[Libellé court type d''action],0),COLUMN(Nomenclature[A suivre avec le propriétaire]))</f>
        <v>Propriétaire</v>
      </c>
      <c r="K150" s="7"/>
      <c r="L150" s="112" t="s">
        <v>533</v>
      </c>
      <c r="M150" s="7"/>
      <c r="N150" s="7" t="str" cm="1">
        <f t="array" ref="N150">INDEX(Nomenclature[],MATCH(Actions[[#This Row],[Libellé court Fidji ACT 
(choisir d''abord la famille)]],Nomenclature[Libellé court type d''action],0),COLUMN(Nomenclature[Quick win]))</f>
        <v>Quick win</v>
      </c>
      <c r="O150" s="8"/>
      <c r="P150" s="8"/>
      <c r="Q150" s="8"/>
      <c r="R150" s="8"/>
      <c r="S150" s="8"/>
      <c r="T150" s="8"/>
      <c r="U150" s="8"/>
      <c r="V150" s="112" t="s">
        <v>533</v>
      </c>
      <c r="W150" s="11" t="s">
        <v>430</v>
      </c>
      <c r="X150" s="11"/>
      <c r="Y150" s="7"/>
      <c r="Z150" s="7"/>
      <c r="AA150" s="7" t="str" cm="1">
        <f t="array" ref="AA150">INDEX(Nomenclature[],MATCH(Actions[[#This Row],[Libellé court Fidji ACT 
(choisir d''abord la famille)]],Nomenclature[Libellé court type d''action],0),COLUMN(Nomenclature[Classe d''activité de référence]))</f>
        <v>-</v>
      </c>
      <c r="AB150" s="12"/>
      <c r="AC150" s="112" t="s">
        <v>533</v>
      </c>
      <c r="AD150" s="12"/>
      <c r="AE150" s="12"/>
      <c r="AF150" s="112" t="s">
        <v>533</v>
      </c>
    </row>
    <row r="151" spans="1:32" ht="55.2" customHeight="1">
      <c r="A151" s="31" t="s">
        <v>173</v>
      </c>
      <c r="B151" s="29" t="s">
        <v>402</v>
      </c>
      <c r="C151" s="101" t="str">
        <f>INDEX(Nomenclature[],MATCH(Actions[[#This Row],[Libellé court Fidji ACT 
(choisir d''abord la famille)]],Nomenclature[Libellé court type d''action],0),2)</f>
        <v>Prévenir risque éventuel d’exposition aux feux de forêt (débroussaillage, pare-feux, …)</v>
      </c>
      <c r="D151" s="31" t="s">
        <v>182</v>
      </c>
      <c r="E151" s="7" t="s">
        <v>430</v>
      </c>
      <c r="F151" s="158"/>
      <c r="G151" s="7"/>
      <c r="H151" s="7"/>
      <c r="I151" s="7" t="str" cm="1">
        <f t="array" ref="I151">INDEX(Nomenclature[],MATCH(Actions[[#This Row],[Libellé court Fidji ACT 
(choisir d''abord la famille)]],Nomenclature[Libellé court type d''action],0),COLUMN(Nomenclature[A suivre avec le mainteneur]))</f>
        <v xml:space="preserve"> </v>
      </c>
      <c r="J151" s="7" t="str" cm="1">
        <f t="array" ref="J151">INDEX(Nomenclature[],MATCH(Actions[[#This Row],[Libellé court Fidji ACT 
(choisir d''abord la famille)]],Nomenclature[Libellé court type d''action],0),COLUMN(Nomenclature[A suivre avec le propriétaire]))</f>
        <v xml:space="preserve"> </v>
      </c>
      <c r="K151" s="7"/>
      <c r="L151" s="112" t="s">
        <v>533</v>
      </c>
      <c r="M151" s="7"/>
      <c r="N151" s="7" t="str" cm="1">
        <f t="array" ref="N151">INDEX(Nomenclature[],MATCH(Actions[[#This Row],[Libellé court Fidji ACT 
(choisir d''abord la famille)]],Nomenclature[Libellé court type d''action],0),COLUMN(Nomenclature[Quick win]))</f>
        <v>Quick win</v>
      </c>
      <c r="O151" s="8"/>
      <c r="P151" s="8"/>
      <c r="Q151" s="8"/>
      <c r="R151" s="8"/>
      <c r="S151" s="8"/>
      <c r="T151" s="8"/>
      <c r="U151" s="8"/>
      <c r="V151" s="112" t="s">
        <v>533</v>
      </c>
      <c r="W151" s="11" t="s">
        <v>430</v>
      </c>
      <c r="X151" s="11"/>
      <c r="Y151" s="7"/>
      <c r="Z151" s="7"/>
      <c r="AA151" s="7" t="str" cm="1">
        <f t="array" ref="AA151">INDEX(Nomenclature[],MATCH(Actions[[#This Row],[Libellé court Fidji ACT 
(choisir d''abord la famille)]],Nomenclature[Libellé court type d''action],0),COLUMN(Nomenclature[Classe d''activité de référence]))</f>
        <v>-</v>
      </c>
      <c r="AB151" s="12"/>
      <c r="AC151" s="112" t="s">
        <v>533</v>
      </c>
      <c r="AD151" s="12"/>
      <c r="AE151" s="12"/>
      <c r="AF151" s="112" t="s">
        <v>533</v>
      </c>
    </row>
    <row r="152" spans="1:32" ht="55.2" customHeight="1">
      <c r="A152" s="31" t="s">
        <v>184</v>
      </c>
      <c r="B152" s="29" t="s">
        <v>306</v>
      </c>
      <c r="C152" s="101" t="str">
        <f>INDEX(Nomenclature[],MATCH(Actions[[#This Row],[Libellé court Fidji ACT 
(choisir d''abord la famille)]],Nomenclature[Libellé court type d''action],0),2)</f>
        <v>Réaliser l’audit énergétique d’un site</v>
      </c>
      <c r="D152" s="31" t="s">
        <v>185</v>
      </c>
      <c r="E152" s="7" t="s">
        <v>430</v>
      </c>
      <c r="F152" s="158"/>
      <c r="G152" s="7"/>
      <c r="H152" s="7"/>
      <c r="I152" s="7" t="str" cm="1">
        <f t="array" ref="I152">INDEX(Nomenclature[],MATCH(Actions[[#This Row],[Libellé court Fidji ACT 
(choisir d''abord la famille)]],Nomenclature[Libellé court type d''action],0),COLUMN(Nomenclature[A suivre avec le mainteneur]))</f>
        <v xml:space="preserve"> </v>
      </c>
      <c r="J152" s="7" t="str" cm="1">
        <f t="array" ref="J152">INDEX(Nomenclature[],MATCH(Actions[[#This Row],[Libellé court Fidji ACT 
(choisir d''abord la famille)]],Nomenclature[Libellé court type d''action],0),COLUMN(Nomenclature[A suivre avec le propriétaire]))</f>
        <v xml:space="preserve"> </v>
      </c>
      <c r="K152" s="7"/>
      <c r="L152" s="112" t="s">
        <v>533</v>
      </c>
      <c r="M152" s="7"/>
      <c r="N152" s="7" t="str" cm="1">
        <f t="array" ref="N152">INDEX(Nomenclature[],MATCH(Actions[[#This Row],[Libellé court Fidji ACT 
(choisir d''abord la famille)]],Nomenclature[Libellé court type d''action],0),COLUMN(Nomenclature[Quick win]))</f>
        <v>Quick win</v>
      </c>
      <c r="O152" s="8"/>
      <c r="P152" s="8"/>
      <c r="Q152" s="8"/>
      <c r="R152" s="8"/>
      <c r="S152" s="8"/>
      <c r="T152" s="8"/>
      <c r="U152" s="8"/>
      <c r="V152" s="112" t="s">
        <v>533</v>
      </c>
      <c r="W152" s="11" t="s">
        <v>430</v>
      </c>
      <c r="X152" s="11"/>
      <c r="Y152" s="7"/>
      <c r="Z152" s="7"/>
      <c r="AA152" s="7" t="str" cm="1">
        <f t="array" ref="AA152">INDEX(Nomenclature[],MATCH(Actions[[#This Row],[Libellé court Fidji ACT 
(choisir d''abord la famille)]],Nomenclature[Libellé court type d''action],0),COLUMN(Nomenclature[Classe d''activité de référence]))</f>
        <v>-</v>
      </c>
      <c r="AB152" s="12"/>
      <c r="AC152" s="112" t="s">
        <v>533</v>
      </c>
      <c r="AD152" s="12"/>
      <c r="AE152" s="12"/>
      <c r="AF152" s="112" t="s">
        <v>533</v>
      </c>
    </row>
    <row r="153" spans="1:32" ht="55.2" customHeight="1">
      <c r="A153" s="31" t="s">
        <v>184</v>
      </c>
      <c r="B153" s="29" t="s">
        <v>307</v>
      </c>
      <c r="C153" s="101" t="str">
        <f>INDEX(Nomenclature[],MATCH(Actions[[#This Row],[Libellé court Fidji ACT 
(choisir d''abord la famille)]],Nomenclature[Libellé court type d''action],0),2)</f>
        <v>Etablir un bilan carbone du site</v>
      </c>
      <c r="D153" s="31" t="s">
        <v>186</v>
      </c>
      <c r="E153" s="7" t="s">
        <v>430</v>
      </c>
      <c r="F153" s="158"/>
      <c r="G153" s="7"/>
      <c r="H153" s="7"/>
      <c r="I153" s="7" t="str" cm="1">
        <f t="array" ref="I153">INDEX(Nomenclature[],MATCH(Actions[[#This Row],[Libellé court Fidji ACT 
(choisir d''abord la famille)]],Nomenclature[Libellé court type d''action],0),COLUMN(Nomenclature[A suivre avec le mainteneur]))</f>
        <v xml:space="preserve"> </v>
      </c>
      <c r="J153" s="7" t="str" cm="1">
        <f t="array" ref="J153">INDEX(Nomenclature[],MATCH(Actions[[#This Row],[Libellé court Fidji ACT 
(choisir d''abord la famille)]],Nomenclature[Libellé court type d''action],0),COLUMN(Nomenclature[A suivre avec le propriétaire]))</f>
        <v xml:space="preserve"> </v>
      </c>
      <c r="K153" s="7"/>
      <c r="L153" s="112" t="s">
        <v>533</v>
      </c>
      <c r="M153" s="7"/>
      <c r="N153" s="7" t="str" cm="1">
        <f t="array" ref="N153">INDEX(Nomenclature[],MATCH(Actions[[#This Row],[Libellé court Fidji ACT 
(choisir d''abord la famille)]],Nomenclature[Libellé court type d''action],0),COLUMN(Nomenclature[Quick win]))</f>
        <v>Quick win</v>
      </c>
      <c r="O153" s="8"/>
      <c r="P153" s="8"/>
      <c r="Q153" s="8"/>
      <c r="R153" s="8"/>
      <c r="S153" s="8"/>
      <c r="T153" s="8"/>
      <c r="U153" s="8"/>
      <c r="V153" s="112" t="s">
        <v>533</v>
      </c>
      <c r="W153" s="11" t="s">
        <v>430</v>
      </c>
      <c r="X153" s="11"/>
      <c r="Y153" s="7"/>
      <c r="Z153" s="7"/>
      <c r="AA153" s="7" t="str" cm="1">
        <f t="array" ref="AA153">INDEX(Nomenclature[],MATCH(Actions[[#This Row],[Libellé court Fidji ACT 
(choisir d''abord la famille)]],Nomenclature[Libellé court type d''action],0),COLUMN(Nomenclature[Classe d''activité de référence]))</f>
        <v>-</v>
      </c>
      <c r="AB153" s="12"/>
      <c r="AC153" s="112" t="s">
        <v>533</v>
      </c>
      <c r="AD153" s="12"/>
      <c r="AE153" s="12"/>
      <c r="AF153" s="112" t="s">
        <v>533</v>
      </c>
    </row>
    <row r="154" spans="1:32" ht="55.2" customHeight="1">
      <c r="A154" s="31" t="s">
        <v>184</v>
      </c>
      <c r="B154" s="29" t="s">
        <v>308</v>
      </c>
      <c r="C154" s="101" t="str">
        <f>INDEX(Nomenclature[],MATCH(Actions[[#This Row],[Libellé court Fidji ACT 
(choisir d''abord la famille)]],Nomenclature[Libellé court type d''action],0),2)</f>
        <v>Calculer le « payback carbone » d’un projet de rénovation</v>
      </c>
      <c r="D154" s="31" t="s">
        <v>187</v>
      </c>
      <c r="E154" s="7" t="s">
        <v>430</v>
      </c>
      <c r="F154" s="158"/>
      <c r="G154" s="7"/>
      <c r="H154" s="7"/>
      <c r="I154" s="7" t="str" cm="1">
        <f t="array" ref="I154">INDEX(Nomenclature[],MATCH(Actions[[#This Row],[Libellé court Fidji ACT 
(choisir d''abord la famille)]],Nomenclature[Libellé court type d''action],0),COLUMN(Nomenclature[A suivre avec le mainteneur]))</f>
        <v xml:space="preserve"> </v>
      </c>
      <c r="J154" s="7" t="str" cm="1">
        <f t="array" ref="J154">INDEX(Nomenclature[],MATCH(Actions[[#This Row],[Libellé court Fidji ACT 
(choisir d''abord la famille)]],Nomenclature[Libellé court type d''action],0),COLUMN(Nomenclature[A suivre avec le propriétaire]))</f>
        <v>Propriétaire</v>
      </c>
      <c r="K154" s="7"/>
      <c r="L154" s="112" t="s">
        <v>533</v>
      </c>
      <c r="M154" s="7"/>
      <c r="N154" s="7" t="str" cm="1">
        <f t="array" ref="N154">INDEX(Nomenclature[],MATCH(Actions[[#This Row],[Libellé court Fidji ACT 
(choisir d''abord la famille)]],Nomenclature[Libellé court type d''action],0),COLUMN(Nomenclature[Quick win]))</f>
        <v>Quick win</v>
      </c>
      <c r="O154" s="8"/>
      <c r="P154" s="8"/>
      <c r="Q154" s="8"/>
      <c r="R154" s="8"/>
      <c r="S154" s="8"/>
      <c r="T154" s="8"/>
      <c r="U154" s="8"/>
      <c r="V154" s="112" t="s">
        <v>533</v>
      </c>
      <c r="W154" s="11" t="s">
        <v>430</v>
      </c>
      <c r="X154" s="11"/>
      <c r="Y154" s="7"/>
      <c r="Z154" s="7"/>
      <c r="AA154" s="7" t="str" cm="1">
        <f t="array" ref="AA154">INDEX(Nomenclature[],MATCH(Actions[[#This Row],[Libellé court Fidji ACT 
(choisir d''abord la famille)]],Nomenclature[Libellé court type d''action],0),COLUMN(Nomenclature[Classe d''activité de référence]))</f>
        <v>-</v>
      </c>
      <c r="AB154" s="12"/>
      <c r="AC154" s="112" t="s">
        <v>533</v>
      </c>
      <c r="AD154" s="12"/>
      <c r="AE154" s="12"/>
      <c r="AF154" s="112" t="s">
        <v>533</v>
      </c>
    </row>
    <row r="155" spans="1:32" ht="55.2" customHeight="1">
      <c r="A155" s="31" t="s">
        <v>184</v>
      </c>
      <c r="B155" s="29" t="s">
        <v>404</v>
      </c>
      <c r="C155" s="101" t="str">
        <f>INDEX(Nomenclature[],MATCH(Actions[[#This Row],[Libellé court Fidji ACT 
(choisir d''abord la famille)]],Nomenclature[Libellé court type d''action],0),2)</f>
        <v>Modéliser la trajectoire carbone 2050 du site, à l’aide d’un outil connecté au plan d’actions</v>
      </c>
      <c r="D155" s="31" t="s">
        <v>188</v>
      </c>
      <c r="E155" s="7" t="s">
        <v>430</v>
      </c>
      <c r="F155" s="158"/>
      <c r="G155" s="7"/>
      <c r="H155" s="7"/>
      <c r="I155" s="7" t="str" cm="1">
        <f t="array" ref="I155">INDEX(Nomenclature[],MATCH(Actions[[#This Row],[Libellé court Fidji ACT 
(choisir d''abord la famille)]],Nomenclature[Libellé court type d''action],0),COLUMN(Nomenclature[A suivre avec le mainteneur]))</f>
        <v xml:space="preserve"> </v>
      </c>
      <c r="J155" s="7" t="str" cm="1">
        <f t="array" ref="J155">INDEX(Nomenclature[],MATCH(Actions[[#This Row],[Libellé court Fidji ACT 
(choisir d''abord la famille)]],Nomenclature[Libellé court type d''action],0),COLUMN(Nomenclature[A suivre avec le propriétaire]))</f>
        <v xml:space="preserve"> </v>
      </c>
      <c r="K155" s="7"/>
      <c r="L155" s="112" t="s">
        <v>533</v>
      </c>
      <c r="M155" s="7"/>
      <c r="N155" s="7" t="str" cm="1">
        <f t="array" ref="N155">INDEX(Nomenclature[],MATCH(Actions[[#This Row],[Libellé court Fidji ACT 
(choisir d''abord la famille)]],Nomenclature[Libellé court type d''action],0),COLUMN(Nomenclature[Quick win]))</f>
        <v>Quick win</v>
      </c>
      <c r="O155" s="8"/>
      <c r="P155" s="8"/>
      <c r="Q155" s="8"/>
      <c r="R155" s="8"/>
      <c r="S155" s="8"/>
      <c r="T155" s="8"/>
      <c r="U155" s="8"/>
      <c r="V155" s="112" t="s">
        <v>533</v>
      </c>
      <c r="W155" s="11" t="s">
        <v>430</v>
      </c>
      <c r="X155" s="11"/>
      <c r="Y155" s="7"/>
      <c r="Z155" s="7"/>
      <c r="AA155" s="7" t="str" cm="1">
        <f t="array" ref="AA155">INDEX(Nomenclature[],MATCH(Actions[[#This Row],[Libellé court Fidji ACT 
(choisir d''abord la famille)]],Nomenclature[Libellé court type d''action],0),COLUMN(Nomenclature[Classe d''activité de référence]))</f>
        <v>-</v>
      </c>
      <c r="AB155" s="12"/>
      <c r="AC155" s="112" t="s">
        <v>533</v>
      </c>
      <c r="AD155" s="12"/>
      <c r="AE155" s="12"/>
      <c r="AF155" s="112" t="s">
        <v>533</v>
      </c>
    </row>
    <row r="156" spans="1:32" ht="55.2" customHeight="1">
      <c r="A156" s="31" t="s">
        <v>184</v>
      </c>
      <c r="B156" s="29" t="s">
        <v>309</v>
      </c>
      <c r="C156" s="101" t="str">
        <f>INDEX(Nomenclature[],MATCH(Actions[[#This Row],[Libellé court Fidji ACT 
(choisir d''abord la famille)]],Nomenclature[Libellé court type d''action],0),2)</f>
        <v>Suivre dans le temps le plan d'action du site au format Fidji ACT</v>
      </c>
      <c r="D156" s="31" t="s">
        <v>189</v>
      </c>
      <c r="E156" s="7" t="s">
        <v>430</v>
      </c>
      <c r="F156" s="158"/>
      <c r="G156" s="7"/>
      <c r="H156" s="7"/>
      <c r="I156" s="7" t="str" cm="1">
        <f t="array" ref="I156">INDEX(Nomenclature[],MATCH(Actions[[#This Row],[Libellé court Fidji ACT 
(choisir d''abord la famille)]],Nomenclature[Libellé court type d''action],0),COLUMN(Nomenclature[A suivre avec le mainteneur]))</f>
        <v xml:space="preserve"> </v>
      </c>
      <c r="J156" s="7" t="str" cm="1">
        <f t="array" ref="J156">INDEX(Nomenclature[],MATCH(Actions[[#This Row],[Libellé court Fidji ACT 
(choisir d''abord la famille)]],Nomenclature[Libellé court type d''action],0),COLUMN(Nomenclature[A suivre avec le propriétaire]))</f>
        <v xml:space="preserve"> </v>
      </c>
      <c r="K156" s="7"/>
      <c r="L156" s="112" t="s">
        <v>533</v>
      </c>
      <c r="M156" s="7"/>
      <c r="N156" s="7" t="str" cm="1">
        <f t="array" ref="N156">INDEX(Nomenclature[],MATCH(Actions[[#This Row],[Libellé court Fidji ACT 
(choisir d''abord la famille)]],Nomenclature[Libellé court type d''action],0),COLUMN(Nomenclature[Quick win]))</f>
        <v>Quick win</v>
      </c>
      <c r="O156" s="8"/>
      <c r="P156" s="8"/>
      <c r="Q156" s="8"/>
      <c r="R156" s="8"/>
      <c r="S156" s="8"/>
      <c r="T156" s="8"/>
      <c r="U156" s="8"/>
      <c r="V156" s="112" t="s">
        <v>533</v>
      </c>
      <c r="W156" s="11" t="s">
        <v>430</v>
      </c>
      <c r="X156" s="11"/>
      <c r="Y156" s="7"/>
      <c r="Z156" s="7"/>
      <c r="AA156" s="7" t="str" cm="1">
        <f t="array" ref="AA156">INDEX(Nomenclature[],MATCH(Actions[[#This Row],[Libellé court Fidji ACT 
(choisir d''abord la famille)]],Nomenclature[Libellé court type d''action],0),COLUMN(Nomenclature[Classe d''activité de référence]))</f>
        <v>-</v>
      </c>
      <c r="AB156" s="12"/>
      <c r="AC156" s="112" t="s">
        <v>533</v>
      </c>
      <c r="AD156" s="12"/>
      <c r="AE156" s="12"/>
      <c r="AF156" s="112" t="s">
        <v>533</v>
      </c>
    </row>
    <row r="157" spans="1:32" ht="55.2" customHeight="1">
      <c r="A157" s="31" t="s">
        <v>184</v>
      </c>
      <c r="B157" s="29" t="s">
        <v>405</v>
      </c>
      <c r="C157" s="101" t="str">
        <f>INDEX(Nomenclature[],MATCH(Actions[[#This Row],[Libellé court Fidji ACT 
(choisir d''abord la famille)]],Nomenclature[Libellé court type d''action],0),2)</f>
        <v>Mettre en place une base de connaissance des équipements du site</v>
      </c>
      <c r="D157" s="31" t="s">
        <v>190</v>
      </c>
      <c r="E157" s="7" t="s">
        <v>430</v>
      </c>
      <c r="F157" s="158"/>
      <c r="G157" s="7"/>
      <c r="H157" s="7"/>
      <c r="I157" s="7" t="str" cm="1">
        <f t="array" ref="I157">INDEX(Nomenclature[],MATCH(Actions[[#This Row],[Libellé court Fidji ACT 
(choisir d''abord la famille)]],Nomenclature[Libellé court type d''action],0),COLUMN(Nomenclature[A suivre avec le mainteneur]))</f>
        <v xml:space="preserve"> </v>
      </c>
      <c r="J157" s="7" t="str" cm="1">
        <f t="array" ref="J157">INDEX(Nomenclature[],MATCH(Actions[[#This Row],[Libellé court Fidji ACT 
(choisir d''abord la famille)]],Nomenclature[Libellé court type d''action],0),COLUMN(Nomenclature[A suivre avec le propriétaire]))</f>
        <v xml:space="preserve"> </v>
      </c>
      <c r="K157" s="7"/>
      <c r="L157" s="112" t="s">
        <v>533</v>
      </c>
      <c r="M157" s="7"/>
      <c r="N157" s="7" t="str" cm="1">
        <f t="array" ref="N157">INDEX(Nomenclature[],MATCH(Actions[[#This Row],[Libellé court Fidji ACT 
(choisir d''abord la famille)]],Nomenclature[Libellé court type d''action],0),COLUMN(Nomenclature[Quick win]))</f>
        <v>Quick win</v>
      </c>
      <c r="O157" s="8"/>
      <c r="P157" s="8"/>
      <c r="Q157" s="8"/>
      <c r="R157" s="8"/>
      <c r="S157" s="8"/>
      <c r="T157" s="8"/>
      <c r="U157" s="8"/>
      <c r="V157" s="112" t="s">
        <v>533</v>
      </c>
      <c r="W157" s="11" t="s">
        <v>430</v>
      </c>
      <c r="X157" s="11"/>
      <c r="Y157" s="7"/>
      <c r="Z157" s="7"/>
      <c r="AA157" s="7" t="str" cm="1">
        <f t="array" ref="AA157">INDEX(Nomenclature[],MATCH(Actions[[#This Row],[Libellé court Fidji ACT 
(choisir d''abord la famille)]],Nomenclature[Libellé court type d''action],0),COLUMN(Nomenclature[Classe d''activité de référence]))</f>
        <v>-</v>
      </c>
      <c r="AB157" s="12"/>
      <c r="AC157" s="112" t="s">
        <v>533</v>
      </c>
      <c r="AD157" s="12"/>
      <c r="AE157" s="12"/>
      <c r="AF157" s="112" t="s">
        <v>533</v>
      </c>
    </row>
    <row r="158" spans="1:32" ht="55.2" customHeight="1">
      <c r="A158" s="31" t="s">
        <v>184</v>
      </c>
      <c r="B158" s="29" t="s">
        <v>310</v>
      </c>
      <c r="C158" s="101" t="str">
        <f>INDEX(Nomenclature[],MATCH(Actions[[#This Row],[Libellé court Fidji ACT 
(choisir d''abord la famille)]],Nomenclature[Libellé court type d''action],0),2)</f>
        <v>Obtenir niveau élevé certification environnementale pour le bâtiment</v>
      </c>
      <c r="D158" s="31" t="s">
        <v>191</v>
      </c>
      <c r="E158" s="7" t="s">
        <v>430</v>
      </c>
      <c r="F158" s="158"/>
      <c r="G158" s="7"/>
      <c r="H158" s="7"/>
      <c r="I158" s="7" t="str" cm="1">
        <f t="array" ref="I158">INDEX(Nomenclature[],MATCH(Actions[[#This Row],[Libellé court Fidji ACT 
(choisir d''abord la famille)]],Nomenclature[Libellé court type d''action],0),COLUMN(Nomenclature[A suivre avec le mainteneur]))</f>
        <v xml:space="preserve"> </v>
      </c>
      <c r="J158" s="7" t="str" cm="1">
        <f t="array" ref="J158">INDEX(Nomenclature[],MATCH(Actions[[#This Row],[Libellé court Fidji ACT 
(choisir d''abord la famille)]],Nomenclature[Libellé court type d''action],0),COLUMN(Nomenclature[A suivre avec le propriétaire]))</f>
        <v xml:space="preserve"> </v>
      </c>
      <c r="K158" s="7"/>
      <c r="L158" s="112" t="s">
        <v>533</v>
      </c>
      <c r="M158" s="7"/>
      <c r="N158" s="7" t="str" cm="1">
        <f t="array" ref="N158">INDEX(Nomenclature[],MATCH(Actions[[#This Row],[Libellé court Fidji ACT 
(choisir d''abord la famille)]],Nomenclature[Libellé court type d''action],0),COLUMN(Nomenclature[Quick win]))</f>
        <v>Quick win</v>
      </c>
      <c r="O158" s="8"/>
      <c r="P158" s="8"/>
      <c r="Q158" s="8"/>
      <c r="R158" s="8"/>
      <c r="S158" s="8"/>
      <c r="T158" s="8"/>
      <c r="U158" s="8"/>
      <c r="V158" s="112" t="s">
        <v>533</v>
      </c>
      <c r="W158" s="11" t="s">
        <v>430</v>
      </c>
      <c r="X158" s="11"/>
      <c r="Y158" s="7"/>
      <c r="Z158" s="7"/>
      <c r="AA158" s="7" t="str" cm="1">
        <f t="array" ref="AA158">INDEX(Nomenclature[],MATCH(Actions[[#This Row],[Libellé court Fidji ACT 
(choisir d''abord la famille)]],Nomenclature[Libellé court type d''action],0),COLUMN(Nomenclature[Classe d''activité de référence]))</f>
        <v>-</v>
      </c>
      <c r="AB158" s="12"/>
      <c r="AC158" s="112" t="s">
        <v>533</v>
      </c>
      <c r="AD158" s="12"/>
      <c r="AE158" s="12"/>
      <c r="AF158" s="112" t="s">
        <v>533</v>
      </c>
    </row>
    <row r="159" spans="1:32" ht="55.2" customHeight="1">
      <c r="A159" s="31" t="s">
        <v>184</v>
      </c>
      <c r="B159" s="29" t="s">
        <v>311</v>
      </c>
      <c r="C159" s="101" t="str">
        <f>INDEX(Nomenclature[],MATCH(Actions[[#This Row],[Libellé court Fidji ACT 
(choisir d''abord la famille)]],Nomenclature[Libellé court type d''action],0),2)</f>
        <v>Obtenir niveau élevé certification environnementale pour la gestion du bâtiment</v>
      </c>
      <c r="D159" s="31" t="s">
        <v>192</v>
      </c>
      <c r="E159" s="7" t="s">
        <v>430</v>
      </c>
      <c r="F159" s="158"/>
      <c r="G159" s="7"/>
      <c r="H159" s="7"/>
      <c r="I159" s="7" t="str" cm="1">
        <f t="array" ref="I159">INDEX(Nomenclature[],MATCH(Actions[[#This Row],[Libellé court Fidji ACT 
(choisir d''abord la famille)]],Nomenclature[Libellé court type d''action],0),COLUMN(Nomenclature[A suivre avec le mainteneur]))</f>
        <v xml:space="preserve"> </v>
      </c>
      <c r="J159" s="7" t="str" cm="1">
        <f t="array" ref="J159">INDEX(Nomenclature[],MATCH(Actions[[#This Row],[Libellé court Fidji ACT 
(choisir d''abord la famille)]],Nomenclature[Libellé court type d''action],0),COLUMN(Nomenclature[A suivre avec le propriétaire]))</f>
        <v xml:space="preserve"> </v>
      </c>
      <c r="K159" s="7"/>
      <c r="L159" s="112" t="s">
        <v>533</v>
      </c>
      <c r="M159" s="7"/>
      <c r="N159" s="7" t="str" cm="1">
        <f t="array" ref="N159">INDEX(Nomenclature[],MATCH(Actions[[#This Row],[Libellé court Fidji ACT 
(choisir d''abord la famille)]],Nomenclature[Libellé court type d''action],0),COLUMN(Nomenclature[Quick win]))</f>
        <v>Quick win</v>
      </c>
      <c r="O159" s="8"/>
      <c r="P159" s="8"/>
      <c r="Q159" s="8"/>
      <c r="R159" s="8"/>
      <c r="S159" s="8"/>
      <c r="T159" s="8"/>
      <c r="U159" s="8"/>
      <c r="V159" s="112" t="s">
        <v>533</v>
      </c>
      <c r="W159" s="11" t="s">
        <v>430</v>
      </c>
      <c r="X159" s="11"/>
      <c r="Y159" s="7"/>
      <c r="Z159" s="7"/>
      <c r="AA159" s="7" t="str" cm="1">
        <f t="array" ref="AA159">INDEX(Nomenclature[],MATCH(Actions[[#This Row],[Libellé court Fidji ACT 
(choisir d''abord la famille)]],Nomenclature[Libellé court type d''action],0),COLUMN(Nomenclature[Classe d''activité de référence]))</f>
        <v>-</v>
      </c>
      <c r="AB159" s="12"/>
      <c r="AC159" s="112" t="s">
        <v>533</v>
      </c>
      <c r="AD159" s="12"/>
      <c r="AE159" s="12"/>
      <c r="AF159" s="112" t="s">
        <v>533</v>
      </c>
    </row>
    <row r="160" spans="1:32" ht="55.2" customHeight="1">
      <c r="A160" s="31" t="s">
        <v>184</v>
      </c>
      <c r="B160" s="29" t="s">
        <v>312</v>
      </c>
      <c r="C160" s="101" t="str">
        <f>INDEX(Nomenclature[],MATCH(Actions[[#This Row],[Libellé court Fidji ACT 
(choisir d''abord la famille)]],Nomenclature[Libellé court type d''action],0),2)</f>
        <v>Identifier et prévenir les risques à fort impact carbone (incendie, fuites fluides frigorigènes…)</v>
      </c>
      <c r="D160" s="31" t="s">
        <v>193</v>
      </c>
      <c r="E160" s="7" t="s">
        <v>430</v>
      </c>
      <c r="F160" s="158"/>
      <c r="G160" s="7"/>
      <c r="H160" s="7"/>
      <c r="I160" s="7" t="str" cm="1">
        <f t="array" ref="I160">INDEX(Nomenclature[],MATCH(Actions[[#This Row],[Libellé court Fidji ACT 
(choisir d''abord la famille)]],Nomenclature[Libellé court type d''action],0),COLUMN(Nomenclature[A suivre avec le mainteneur]))</f>
        <v xml:space="preserve"> </v>
      </c>
      <c r="J160" s="7" t="str" cm="1">
        <f t="array" ref="J160">INDEX(Nomenclature[],MATCH(Actions[[#This Row],[Libellé court Fidji ACT 
(choisir d''abord la famille)]],Nomenclature[Libellé court type d''action],0),COLUMN(Nomenclature[A suivre avec le propriétaire]))</f>
        <v xml:space="preserve"> </v>
      </c>
      <c r="K160" s="7"/>
      <c r="L160" s="112" t="s">
        <v>533</v>
      </c>
      <c r="M160" s="7"/>
      <c r="N160" s="7" t="str" cm="1">
        <f t="array" ref="N160">INDEX(Nomenclature[],MATCH(Actions[[#This Row],[Libellé court Fidji ACT 
(choisir d''abord la famille)]],Nomenclature[Libellé court type d''action],0),COLUMN(Nomenclature[Quick win]))</f>
        <v>Quick win</v>
      </c>
      <c r="O160" s="8"/>
      <c r="P160" s="8"/>
      <c r="Q160" s="8"/>
      <c r="R160" s="8"/>
      <c r="S160" s="8"/>
      <c r="T160" s="8"/>
      <c r="U160" s="8"/>
      <c r="V160" s="112" t="s">
        <v>533</v>
      </c>
      <c r="W160" s="11" t="s">
        <v>430</v>
      </c>
      <c r="X160" s="11"/>
      <c r="Y160" s="7"/>
      <c r="Z160" s="7"/>
      <c r="AA160" s="7" t="str" cm="1">
        <f t="array" ref="AA160">INDEX(Nomenclature[],MATCH(Actions[[#This Row],[Libellé court Fidji ACT 
(choisir d''abord la famille)]],Nomenclature[Libellé court type d''action],0),COLUMN(Nomenclature[Classe d''activité de référence]))</f>
        <v>-</v>
      </c>
      <c r="AB160" s="12"/>
      <c r="AC160" s="112" t="s">
        <v>533</v>
      </c>
      <c r="AD160" s="12"/>
      <c r="AE160" s="12"/>
      <c r="AF160" s="112" t="s">
        <v>533</v>
      </c>
    </row>
    <row r="161" spans="1:32" ht="55.2" customHeight="1">
      <c r="A161" s="31" t="s">
        <v>184</v>
      </c>
      <c r="B161" s="29" t="s">
        <v>313</v>
      </c>
      <c r="C161" s="101" t="str">
        <f>INDEX(Nomenclature[],MATCH(Actions[[#This Row],[Libellé court Fidji ACT 
(choisir d''abord la famille)]],Nomenclature[Libellé court type d''action],0),2)</f>
        <v>Mettre en place un Contrat de Performance Energétique « Service » et / ou « travaux »</v>
      </c>
      <c r="D161" s="31" t="s">
        <v>194</v>
      </c>
      <c r="E161" s="7" t="s">
        <v>430</v>
      </c>
      <c r="F161" s="158"/>
      <c r="G161" s="7"/>
      <c r="H161" s="7"/>
      <c r="I161" s="7" t="str" cm="1">
        <f t="array" ref="I161">INDEX(Nomenclature[],MATCH(Actions[[#This Row],[Libellé court Fidji ACT 
(choisir d''abord la famille)]],Nomenclature[Libellé court type d''action],0),COLUMN(Nomenclature[A suivre avec le mainteneur]))</f>
        <v xml:space="preserve"> </v>
      </c>
      <c r="J161" s="7" t="str" cm="1">
        <f t="array" ref="J161">INDEX(Nomenclature[],MATCH(Actions[[#This Row],[Libellé court Fidji ACT 
(choisir d''abord la famille)]],Nomenclature[Libellé court type d''action],0),COLUMN(Nomenclature[A suivre avec le propriétaire]))</f>
        <v xml:space="preserve"> </v>
      </c>
      <c r="K161" s="7"/>
      <c r="L161" s="112" t="s">
        <v>533</v>
      </c>
      <c r="M161" s="7"/>
      <c r="N161" s="7" t="str" cm="1">
        <f t="array" ref="N161">INDEX(Nomenclature[],MATCH(Actions[[#This Row],[Libellé court Fidji ACT 
(choisir d''abord la famille)]],Nomenclature[Libellé court type d''action],0),COLUMN(Nomenclature[Quick win]))</f>
        <v>Quick win</v>
      </c>
      <c r="O161" s="8"/>
      <c r="P161" s="8"/>
      <c r="Q161" s="8"/>
      <c r="R161" s="8"/>
      <c r="S161" s="8"/>
      <c r="T161" s="8"/>
      <c r="U161" s="8"/>
      <c r="V161" s="112" t="s">
        <v>533</v>
      </c>
      <c r="W161" s="11" t="s">
        <v>430</v>
      </c>
      <c r="X161" s="11"/>
      <c r="Y161" s="7"/>
      <c r="Z161" s="7"/>
      <c r="AA161" s="7" t="str" cm="1">
        <f t="array" ref="AA161">INDEX(Nomenclature[],MATCH(Actions[[#This Row],[Libellé court Fidji ACT 
(choisir d''abord la famille)]],Nomenclature[Libellé court type d''action],0),COLUMN(Nomenclature[Classe d''activité de référence]))</f>
        <v>-</v>
      </c>
      <c r="AB161" s="12"/>
      <c r="AC161" s="112" t="s">
        <v>533</v>
      </c>
      <c r="AD161" s="12"/>
      <c r="AE161" s="12"/>
      <c r="AF161" s="112" t="s">
        <v>533</v>
      </c>
    </row>
  </sheetData>
  <sheetProtection formatCells="0" formatColumns="0" insertColumns="0" insertRows="0" deleteColumns="0" deleteRows="0" sort="0" autoFilter="0"/>
  <conditionalFormatting sqref="F37">
    <cfRule type="expression" dxfId="43" priority="1">
      <formula>$E37="Validé"</formula>
    </cfRule>
    <cfRule type="expression" dxfId="42" priority="2">
      <formula>$E37="En cours"</formula>
    </cfRule>
    <cfRule type="expression" dxfId="41" priority="3">
      <formula>$E37="Préconisé"</formula>
    </cfRule>
    <cfRule type="expression" dxfId="40" priority="4">
      <formula>$E37="Non Applicable"</formula>
    </cfRule>
    <cfRule type="expression" dxfId="39" priority="5">
      <formula>$E37="Réalisé"</formula>
    </cfRule>
    <cfRule type="expression" dxfId="38" priority="6">
      <formula>$E37="A investiguer"</formula>
    </cfRule>
  </conditionalFormatting>
  <conditionalFormatting sqref="F38">
    <cfRule type="expression" dxfId="37" priority="51">
      <formula>$E39="Préconisé"</formula>
    </cfRule>
    <cfRule type="expression" dxfId="36" priority="52">
      <formula>$E39="Non Applicable"</formula>
    </cfRule>
    <cfRule type="expression" dxfId="35" priority="53">
      <formula>$E39="Réalisé"</formula>
    </cfRule>
    <cfRule type="expression" dxfId="34" priority="54">
      <formula>$E39="A investiguer"</formula>
    </cfRule>
    <cfRule type="expression" dxfId="33" priority="49">
      <formula>$E39="Validé"</formula>
    </cfRule>
    <cfRule type="expression" dxfId="32" priority="50">
      <formula>$E39="En cours"</formula>
    </cfRule>
  </conditionalFormatting>
  <conditionalFormatting sqref="F2:AB2 W2:X5 A2:E161 F3:H36 I3:AB161 G37:H38 F39:H161">
    <cfRule type="expression" dxfId="31" priority="37">
      <formula>$E2="Validé"</formula>
    </cfRule>
    <cfRule type="expression" dxfId="30" priority="39">
      <formula>$E2="Préconisé"</formula>
    </cfRule>
    <cfRule type="expression" dxfId="29" priority="40">
      <formula>$E2="Non Applicable"</formula>
    </cfRule>
    <cfRule type="expression" dxfId="28" priority="41">
      <formula>$E2="Réalisé"</formula>
    </cfRule>
    <cfRule type="expression" dxfId="27" priority="42">
      <formula>$E2="A investiguer"</formula>
    </cfRule>
    <cfRule type="expression" dxfId="26" priority="38">
      <formula>$E2="En cours"</formula>
    </cfRule>
  </conditionalFormatting>
  <conditionalFormatting sqref="AC2:AC161">
    <cfRule type="expression" dxfId="25" priority="27">
      <formula>$E2="Préconisé"</formula>
    </cfRule>
    <cfRule type="expression" dxfId="24" priority="28">
      <formula>$E2="Non Applicable"</formula>
    </cfRule>
    <cfRule type="expression" dxfId="23" priority="29">
      <formula>$E2="Réalisé"</formula>
    </cfRule>
    <cfRule type="expression" dxfId="22" priority="30">
      <formula>$E2="A investiguer"</formula>
    </cfRule>
    <cfRule type="expression" dxfId="21" priority="25">
      <formula>$E2="Validé"</formula>
    </cfRule>
    <cfRule type="expression" dxfId="20" priority="26">
      <formula>$E2="En cours"</formula>
    </cfRule>
  </conditionalFormatting>
  <conditionalFormatting sqref="AD2:AD161">
    <cfRule type="expression" dxfId="19" priority="13">
      <formula>$E2="Validé"</formula>
    </cfRule>
    <cfRule type="expression" dxfId="18" priority="14">
      <formula>$E2="En cours"</formula>
    </cfRule>
    <cfRule type="expression" dxfId="17" priority="15">
      <formula>$E2="Préconisé"</formula>
    </cfRule>
    <cfRule type="expression" dxfId="16" priority="16">
      <formula>$E2="Non Applicable"</formula>
    </cfRule>
    <cfRule type="expression" dxfId="15" priority="18">
      <formula>$E2="A investiguer"</formula>
    </cfRule>
    <cfRule type="expression" dxfId="14" priority="17">
      <formula>$E2="Réalisé"</formula>
    </cfRule>
  </conditionalFormatting>
  <conditionalFormatting sqref="AE2:AE161">
    <cfRule type="expression" dxfId="13" priority="7">
      <formula>$E2="Validé"</formula>
    </cfRule>
    <cfRule type="expression" dxfId="12" priority="8">
      <formula>$E2="En cours"</formula>
    </cfRule>
    <cfRule type="expression" dxfId="11" priority="9">
      <formula>$E2="Préconisé"</formula>
    </cfRule>
    <cfRule type="expression" dxfId="10" priority="10">
      <formula>$E2="Non Applicable"</formula>
    </cfRule>
    <cfRule type="expression" dxfId="9" priority="11">
      <formula>$E2="Réalisé"</formula>
    </cfRule>
    <cfRule type="expression" dxfId="8" priority="12">
      <formula>$E2="A investiguer"</formula>
    </cfRule>
  </conditionalFormatting>
  <conditionalFormatting sqref="AF2:AF161">
    <cfRule type="expression" dxfId="7" priority="19">
      <formula>$E2="Validé"</formula>
    </cfRule>
    <cfRule type="expression" dxfId="6" priority="20">
      <formula>$E2="En cours"</formula>
    </cfRule>
    <cfRule type="expression" dxfId="5" priority="21">
      <formula>$E2="Préconisé"</formula>
    </cfRule>
    <cfRule type="expression" dxfId="4" priority="23">
      <formula>$E2="Réalisé"</formula>
    </cfRule>
    <cfRule type="expression" dxfId="3" priority="24">
      <formula>$E2="A investiguer"</formula>
    </cfRule>
    <cfRule type="expression" dxfId="2" priority="22">
      <formula>$E2="Non Applicable"</formula>
    </cfRule>
  </conditionalFormatting>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8">
        <x14:dataValidation type="list" allowBlank="1" showInputMessage="1" showErrorMessage="1" xr:uid="{A5C42C28-82D3-4DC1-91A3-6A8570F47D32}">
          <x14:formula1>
            <xm:f>Backend!$C$2:$C$5</xm:f>
          </x14:formula1>
          <xm:sqref>T1:T1048576</xm:sqref>
        </x14:dataValidation>
        <x14:dataValidation type="list" allowBlank="1" showInputMessage="1" showErrorMessage="1" xr:uid="{6C04194A-9F7E-4820-9109-F52A0430E255}">
          <x14:formula1>
            <xm:f>Backend!#REF!</xm:f>
          </x14:formula1>
          <xm:sqref>C162:D1048576</xm:sqref>
        </x14:dataValidation>
        <x14:dataValidation type="list" allowBlank="1" showInputMessage="1" showErrorMessage="1" xr:uid="{DAB6DF87-CC18-41B6-A097-4F7675B03035}">
          <x14:formula1>
            <xm:f>Backend!$Q$2:$Q$3</xm:f>
          </x14:formula1>
          <xm:sqref>U2:U161</xm:sqref>
        </x14:dataValidation>
        <x14:dataValidation type="list" allowBlank="1" showInputMessage="1" showErrorMessage="1" xr:uid="{67014291-F967-481F-9352-A358D2F7DB41}">
          <x14:formula1>
            <xm:f>_xlfn.ANCHORARRAY(Calculation!$B$1)</xm:f>
          </x14:formula1>
          <xm:sqref>A2:A161</xm:sqref>
        </x14:dataValidation>
        <x14:dataValidation type="list" allowBlank="1" showInputMessage="1" showErrorMessage="1" xr:uid="{FF2EC845-BB19-4C55-B225-1B8C71FD8B2D}">
          <x14:formula1>
            <xm:f>Backend!$A$2:$A$22</xm:f>
          </x14:formula1>
          <xm:sqref>M2:M161</xm:sqref>
        </x14:dataValidation>
        <x14:dataValidation type="list" allowBlank="1" showInputMessage="1" showErrorMessage="1" xr:uid="{BDBDFDD8-F1BF-420A-896C-C7A499112F1E}">
          <x14:formula1>
            <xm:f>Backend!$P$2:$P$4</xm:f>
          </x14:formula1>
          <xm:sqref>N2:N161</xm:sqref>
        </x14:dataValidation>
        <x14:dataValidation type="list" allowBlank="1" showInputMessage="1" showErrorMessage="1" xr:uid="{C6920A7C-644F-4680-8CF2-D4C9A3F5782F}">
          <x14:formula1>
            <xm:f>INDIRECT("Calculation!"&amp;ADDRESS(2,COLUMN($A$1)+MATCH(A2,_xlfn.ANCHORARRAY(Calculation!$B$1),0),4)&amp;"#")</xm:f>
          </x14:formula1>
          <xm:sqref>B2:B161</xm:sqref>
        </x14:dataValidation>
        <x14:dataValidation type="list" allowBlank="1" showInputMessage="1" showErrorMessage="1" xr:uid="{A4030086-8305-4A58-8F34-D70F0BBE879E}">
          <x14:formula1>
            <xm:f>Backend!$N$2:$N$9</xm:f>
          </x14:formula1>
          <xm:sqref>E1:E1048576</xm:sqref>
        </x14:dataValidation>
        <x14:dataValidation type="list" allowBlank="1" showInputMessage="1" showErrorMessage="1" xr:uid="{896CCB93-086F-4D3C-98C8-0711667B09F0}">
          <x14:formula1>
            <xm:f>Backend!$M$2:$M$3</xm:f>
          </x14:formula1>
          <xm:sqref>AB162:AE1048576</xm:sqref>
        </x14:dataValidation>
        <x14:dataValidation type="list" allowBlank="1" showInputMessage="1" showErrorMessage="1" xr:uid="{0C476D9B-7AFF-4D82-87F3-49B0AD89B1F5}">
          <x14:formula1>
            <xm:f>Backend!$G$2:$G$3</xm:f>
          </x14:formula1>
          <xm:sqref>G162:G1048576</xm:sqref>
        </x14:dataValidation>
        <x14:dataValidation type="list" allowBlank="1" showInputMessage="1" showErrorMessage="1" xr:uid="{E5EBC9D2-8D2A-41EB-BFB9-620B0A2BDEEF}">
          <x14:formula1>
            <xm:f>Backend!$H$2:$H$2</xm:f>
          </x14:formula1>
          <xm:sqref>I1:I1048576</xm:sqref>
        </x14:dataValidation>
        <x14:dataValidation type="list" allowBlank="1" showInputMessage="1" showErrorMessage="1" xr:uid="{68C91A18-736D-48ED-A4DC-1C6ED4D1A151}">
          <x14:formula1>
            <xm:f>Backend!$O$2:$O$3</xm:f>
          </x14:formula1>
          <xm:sqref>M162:N1048576</xm:sqref>
        </x14:dataValidation>
        <x14:dataValidation type="list" allowBlank="1" showInputMessage="1" showErrorMessage="1" xr:uid="{A41AD532-0313-42C6-8868-7C3F378539E3}">
          <x14:formula1>
            <xm:f>Backend!$G$2:$G$2</xm:f>
          </x14:formula1>
          <xm:sqref>G2:G161</xm:sqref>
        </x14:dataValidation>
        <x14:dataValidation type="list" allowBlank="1" showInputMessage="1" showErrorMessage="1" xr:uid="{CABC8CBA-B267-4A2D-A237-77F40122E51D}">
          <x14:formula1>
            <xm:f>Backend!$K$2:$K$2</xm:f>
          </x14:formula1>
          <xm:sqref>H1:H1048576</xm:sqref>
        </x14:dataValidation>
        <x14:dataValidation type="list" allowBlank="1" showInputMessage="1" showErrorMessage="1" xr:uid="{0A376D2B-EB16-4071-AF2A-6D77386B2537}">
          <x14:formula1>
            <xm:f>Backend!$I$2:$I$2</xm:f>
          </x14:formula1>
          <xm:sqref>J1:J1048576</xm:sqref>
        </x14:dataValidation>
        <x14:dataValidation type="list" allowBlank="1" showInputMessage="1" showErrorMessage="1" xr:uid="{525A12A5-780D-4926-B411-13FD7CD030AA}">
          <x14:formula1>
            <xm:f>Backend!$M$2:$M$2</xm:f>
          </x14:formula1>
          <xm:sqref>K1:K1048576</xm:sqref>
        </x14:dataValidation>
        <x14:dataValidation type="list" allowBlank="1" showInputMessage="1" showErrorMessage="1" xr:uid="{19CC87EB-A3A6-4DFE-BF57-A110028A892A}">
          <x14:formula1>
            <xm:f>Backend!$F$2:$F$6</xm:f>
          </x14:formula1>
          <xm:sqref>X1:X1048576</xm:sqref>
        </x14:dataValidation>
        <x14:dataValidation type="list" allowBlank="1" showInputMessage="1" showErrorMessage="1" xr:uid="{B51592A0-159A-4DC4-BE4D-FD057F30B9CE}">
          <x14:formula1>
            <xm:f>Backend!$B$2:$B$5</xm:f>
          </x14:formula1>
          <xm:sqref>Z1:Z1048576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31C5-3998-4815-8D2D-D0B718EF2C8D}">
  <sheetPr>
    <pageSetUpPr fitToPage="1"/>
  </sheetPr>
  <dimension ref="A1:L313"/>
  <sheetViews>
    <sheetView showGridLines="0" zoomScale="53" zoomScaleNormal="53" workbookViewId="0">
      <selection activeCell="A24" sqref="A24"/>
    </sheetView>
  </sheetViews>
  <sheetFormatPr baseColWidth="10" defaultColWidth="11.5546875" defaultRowHeight="14.4"/>
  <cols>
    <col min="1" max="1" width="16.5546875" style="35" customWidth="1"/>
    <col min="2" max="2" width="16.109375" style="35" customWidth="1"/>
    <col min="3" max="4" width="13.6640625" style="35" customWidth="1"/>
    <col min="5" max="5" width="13.5546875" style="35" customWidth="1"/>
    <col min="6" max="6" width="14.5546875" style="6" customWidth="1"/>
    <col min="7" max="8" width="13.6640625" style="35" customWidth="1"/>
    <col min="9" max="9" width="13" style="35" customWidth="1"/>
    <col min="10" max="10" width="16.109375" style="35" customWidth="1"/>
    <col min="11" max="11" width="13.6640625" style="35" customWidth="1"/>
    <col min="12" max="12" width="22" style="35" customWidth="1"/>
    <col min="13" max="16" width="13.6640625" style="35" customWidth="1"/>
    <col min="17" max="16384" width="11.5546875" style="35"/>
  </cols>
  <sheetData>
    <row r="1" spans="1:12" ht="85.8" customHeight="1"/>
    <row r="2" spans="1:12" ht="150.6" customHeight="1">
      <c r="A2" s="191" t="s">
        <v>524</v>
      </c>
      <c r="B2" s="191"/>
      <c r="C2" s="191"/>
      <c r="D2" s="191"/>
      <c r="E2" s="191"/>
      <c r="F2" s="191"/>
      <c r="G2" s="191"/>
      <c r="H2" s="191"/>
      <c r="I2" s="191"/>
      <c r="J2" s="191"/>
      <c r="K2" s="111"/>
      <c r="L2" s="111"/>
    </row>
    <row r="3" spans="1:12" ht="70.2" customHeight="1">
      <c r="A3" s="192" t="str">
        <f>'Reference data'!C5</f>
        <v>Nom du site</v>
      </c>
      <c r="B3" s="192"/>
      <c r="C3" s="192"/>
      <c r="D3" s="192"/>
      <c r="E3" s="192"/>
      <c r="F3" s="192"/>
      <c r="G3" s="192"/>
      <c r="H3" s="192"/>
      <c r="I3" s="192"/>
      <c r="J3" s="192"/>
      <c r="K3" s="123"/>
      <c r="L3" s="123"/>
    </row>
    <row r="4" spans="1:12" ht="16.95" customHeight="1">
      <c r="G4" s="37"/>
      <c r="H4" s="37"/>
      <c r="I4" s="37"/>
      <c r="J4" s="37"/>
      <c r="K4" s="37"/>
      <c r="L4" s="37"/>
    </row>
    <row r="23" spans="1:12" s="15" customFormat="1" ht="21" customHeight="1">
      <c r="B23" s="42" t="s">
        <v>324</v>
      </c>
      <c r="C23" s="43">
        <f>COUNTIFS('Action Plan'!A2:A181,"1- Enveloppe bâtiment",'Action Plan'!E2:E181,"Non Applicable")</f>
        <v>0</v>
      </c>
      <c r="F23" s="91" t="s">
        <v>324</v>
      </c>
      <c r="G23" s="43">
        <f>COUNTIFS('Action Plan'!A2:A181,"2- Eclairage",'Action Plan'!E2:E181,"Non Applicable")</f>
        <v>0</v>
      </c>
      <c r="J23" s="42" t="s">
        <v>324</v>
      </c>
      <c r="K23" s="43">
        <f>COUNTIFS('Action Plan'!A2:A191,"3- Réglage CVC",'Action Plan'!E2:E191,"A investiguer")</f>
        <v>0</v>
      </c>
    </row>
    <row r="24" spans="1:12" s="15" customFormat="1" ht="21" customHeight="1">
      <c r="B24" s="44" t="s">
        <v>510</v>
      </c>
      <c r="C24" s="45">
        <f>COUNTIFS('Action Plan'!A2:A181,"1- Enveloppe bâtiment",'Action Plan'!E2:E181,"A investiguer")</f>
        <v>0</v>
      </c>
      <c r="F24" s="92" t="s">
        <v>510</v>
      </c>
      <c r="G24" s="45">
        <f>COUNTIFS('Action Plan'!A2:A181,"2- Eclairage",'Action Plan'!E2:E181,"A investiguer")</f>
        <v>0</v>
      </c>
      <c r="J24" s="44" t="s">
        <v>510</v>
      </c>
      <c r="K24" s="45">
        <f>COUNTIFS('Action Plan'!A2:A191,"3- Réglage CVC",'Action Plan'!E2:E191,"A investiguer")</f>
        <v>0</v>
      </c>
    </row>
    <row r="25" spans="1:12" s="15" customFormat="1" ht="21" customHeight="1">
      <c r="B25" s="46" t="s">
        <v>509</v>
      </c>
      <c r="C25" s="47">
        <f>COUNTIFS('Action Plan'!A2:A181,"1- Enveloppe bâtiment",'Action Plan'!E2:E181,"Préconisé")</f>
        <v>0</v>
      </c>
      <c r="F25" s="93" t="s">
        <v>509</v>
      </c>
      <c r="G25" s="47">
        <f>COUNTIFS('Action Plan'!A2:A181,"2- Eclairage",'Action Plan'!E2:E181,"Préconisé")</f>
        <v>0</v>
      </c>
      <c r="J25" s="46" t="s">
        <v>509</v>
      </c>
      <c r="K25" s="47">
        <f>COUNTIFS('Action Plan'!A2:A181,"3- Réglage CVC",'Action Plan'!E2:E181,"Préconisé")</f>
        <v>0</v>
      </c>
    </row>
    <row r="26" spans="1:12" s="15" customFormat="1" ht="21" customHeight="1">
      <c r="B26" s="48" t="s">
        <v>518</v>
      </c>
      <c r="C26" s="49">
        <f>COUNTIFS('Action Plan'!A2:A181,"1- Enveloppe bâtiment",'Action Plan'!E2:E181,"Validé")+COUNTIFS('Action Plan'!A2:A181,"1- Enveloppe bâtiment",'Action Plan'!E2:E181,"En cours")+COUNTIFS('Action Plan'!A2:A181,"1- Enveloppe bâtiment",'Action Plan'!E2:E181,"Réalisé")</f>
        <v>0</v>
      </c>
      <c r="F26" s="48" t="s">
        <v>518</v>
      </c>
      <c r="G26" s="49">
        <f>COUNTIFS('Action Plan'!A2:A181,"2- Eclairage",'Action Plan'!E2:E181,"Validé")+COUNTIFS('Action Plan'!A2:A181,"2- Eclairage",'Action Plan'!E2:E181,"En cours")+COUNTIFS('Action Plan'!A2:A181,"2- Eclairage",'Action Plan'!E2:E181,"Réalisé")</f>
        <v>0</v>
      </c>
      <c r="J26" s="48" t="s">
        <v>518</v>
      </c>
      <c r="K26" s="49">
        <f>COUNTIFS('Action Plan'!A2:A181,"3- Réglage CVC",'Action Plan'!E2:E181,"Validé")+COUNTIFS('Action Plan'!A2:A181,"3- Réglage CVC",'Action Plan'!E2:E181,"Réalisé")+COUNTIFS('Action Plan'!A2:A181,"3- Réglage CVC",'Action Plan'!E2:E181,"En cours")</f>
        <v>0</v>
      </c>
    </row>
    <row r="27" spans="1:12" s="62" customFormat="1" ht="20.100000000000001" customHeight="1">
      <c r="B27" s="70" t="s">
        <v>505</v>
      </c>
      <c r="C27" s="71">
        <f>COUNTIFS('Action Plan'!A2:A191,"1- Enveloppe bâtiment",'Action Plan'!E2:E191,"-") + COUNTIFS('Action Plan'!A2:A191,"1- Enveloppe bâtiment",'Action Plan'!E2:E191,"")</f>
        <v>11</v>
      </c>
      <c r="F27" s="94" t="s">
        <v>505</v>
      </c>
      <c r="G27" s="71">
        <f>COUNTIFS('Action Plan'!A2:A191,"2- Eclairage",'Action Plan'!E2:E191,"-") + COUNTIFS('Action Plan'!A2:A191,"2- Eclairage",'Action Plan'!E2:E191,"")</f>
        <v>8</v>
      </c>
      <c r="J27" s="70" t="s">
        <v>505</v>
      </c>
      <c r="K27" s="71">
        <f>COUNTIFS('Action Plan'!A2:A191,"3- Réglage CVC",'Action Plan'!E2:E191,"-") + COUNTIFS('Action Plan'!A2:A191,"3- Réglage CVC",'Action Plan'!E2:E191,"")</f>
        <v>12</v>
      </c>
    </row>
    <row r="28" spans="1:12" ht="20.100000000000001" customHeight="1"/>
    <row r="29" spans="1:12" ht="19.8" customHeight="1">
      <c r="A29" s="36"/>
      <c r="B29" s="36"/>
      <c r="C29" s="36"/>
      <c r="D29" s="36"/>
      <c r="E29" s="36"/>
      <c r="G29" s="37"/>
      <c r="H29" s="37"/>
      <c r="I29" s="37"/>
      <c r="J29" s="37"/>
      <c r="K29" s="37"/>
      <c r="L29" s="37"/>
    </row>
    <row r="48" spans="2:11" s="15" customFormat="1" ht="21" customHeight="1">
      <c r="B48" s="42" t="s">
        <v>324</v>
      </c>
      <c r="C48" s="43">
        <f>COUNTIFS('Action Plan'!A2:A181,"4- Maintenance CVC",'Action Plan'!E2:E181,"Non Applicable")</f>
        <v>0</v>
      </c>
      <c r="F48" s="91" t="s">
        <v>324</v>
      </c>
      <c r="G48" s="43">
        <f>COUNTIFS('Action Plan'!A2:A181,"5- Travaux CVC (hors abandon gaz &amp; fioul)",'Action Plan'!E2:E181,"Non Applicable")</f>
        <v>0</v>
      </c>
      <c r="H48" s="33"/>
      <c r="J48" s="42" t="s">
        <v>324</v>
      </c>
      <c r="K48" s="43">
        <f>COUNTIFS('Action Plan'!A2:A183,"6- EnR / Abandon énergies fossiles",'Action Plan'!E2:E183,"Non Applicable")</f>
        <v>0</v>
      </c>
    </row>
    <row r="49" spans="2:11" s="15" customFormat="1" ht="21" customHeight="1">
      <c r="B49" s="44" t="s">
        <v>510</v>
      </c>
      <c r="C49" s="45">
        <f>COUNTIFS('Action Plan'!A2:A181,"4- Maintenance CVC",'Action Plan'!E2:E181,"A investiguer")</f>
        <v>0</v>
      </c>
      <c r="F49" s="92" t="s">
        <v>510</v>
      </c>
      <c r="G49" s="45">
        <f>COUNTIFS('Action Plan'!A2:A181,"5- Travaux CVC (hors abandon gaz &amp; fioul)",'Action Plan'!E2:E181,"A investiguer")</f>
        <v>0</v>
      </c>
      <c r="J49" s="44" t="s">
        <v>510</v>
      </c>
      <c r="K49" s="45">
        <f>COUNTIFS('Action Plan'!A2:A183,"6- EnR / Abandon énergies fossiles",'Action Plan'!E2:E183,"A investiguer")</f>
        <v>0</v>
      </c>
    </row>
    <row r="50" spans="2:11" s="15" customFormat="1" ht="21" customHeight="1">
      <c r="B50" s="46" t="s">
        <v>509</v>
      </c>
      <c r="C50" s="47">
        <f>COUNTIFS('Action Plan'!A2:A181,"4- Maintenance CVC",'Action Plan'!E2:E181,"Préconisé")</f>
        <v>0</v>
      </c>
      <c r="F50" s="93" t="s">
        <v>509</v>
      </c>
      <c r="G50" s="47">
        <f>COUNTIFS('Action Plan'!A2:A181,"5- Travaux CVC (hors abandon gaz &amp; fioul)",'Action Plan'!E2:E181,"Préconisé")</f>
        <v>0</v>
      </c>
      <c r="J50" s="46" t="s">
        <v>509</v>
      </c>
      <c r="K50" s="47">
        <f>COUNTIFS('Action Plan'!A2:A183,"6- EnR / Abandon énergies fossiles",'Action Plan'!E2:E183,"Préconisé")</f>
        <v>0</v>
      </c>
    </row>
    <row r="51" spans="2:11" s="15" customFormat="1" ht="21" customHeight="1">
      <c r="B51" s="48" t="s">
        <v>518</v>
      </c>
      <c r="C51" s="49">
        <f>COUNTIFS('Action Plan'!A25:A206,"4- Maintenance CVC",'Action Plan'!E25:E206,"Validé")+COUNTIFS('Action Plan'!A25:A206,"4- Maintenance CVC",'Action Plan'!E25:E206,"En cours")+COUNTIFS('Action Plan'!A25:A206,"4- Maintenance CVC",'Action Plan'!E25:E206,"Réalisé")</f>
        <v>0</v>
      </c>
      <c r="F51" s="48" t="s">
        <v>518</v>
      </c>
      <c r="G51" s="49">
        <f>COUNTIFS('Action Plan'!A2:A181,"5- Travaux CVC (hors abandon gaz &amp; fioul)",'Action Plan'!E2:E181,"Validé")+COUNTIFS('Action Plan'!A2:A181,"5- Travaux CVC (hors abandon gaz &amp; fioul)",'Action Plan'!E2:E181,"En coursn")+COUNTIFS('Action Plan'!A2:A181,"5- Travaux CVC (hors abandon gaz &amp; fioul)",'Action Plan'!E2:E181,"Réalisé")</f>
        <v>0</v>
      </c>
      <c r="J51" s="48" t="s">
        <v>518</v>
      </c>
      <c r="K51" s="49">
        <f>COUNTIFS('Action Plan'!A2:A181,"6- EnR / Abandon énergies fossiles",'Action Plan'!E2:E181,"Validé")+COUNTIFS('Action Plan'!A2:A181,"6- EnR / Abandon énergies fossiles",'Action Plan'!E2:E181,"En cours")+COUNTIFS('Action Plan'!A2:A181,"6- EnR / Abandon énergies fossiles",'Action Plan'!E2:E181,"Réalisé")</f>
        <v>0</v>
      </c>
    </row>
    <row r="52" spans="2:11" s="62" customFormat="1" ht="20.100000000000001" customHeight="1">
      <c r="B52" s="70" t="s">
        <v>505</v>
      </c>
      <c r="C52" s="71">
        <f>COUNTIFS('Action Plan'!A2:A191,"4- Maintenance CVC",'Action Plan'!E2:E191,"-") + COUNTIFS('Action Plan'!A2:A191,"4- Maintenance CVC",'Action Plan'!E2:E191,"")</f>
        <v>7</v>
      </c>
      <c r="F52" s="94" t="s">
        <v>505</v>
      </c>
      <c r="G52" s="71">
        <f>COUNTIFS('Action Plan'!A2:A191,"5- Travaux CVC (hors abandon gaz &amp; fioul)",'Action Plan'!E2:E191,"-") + COUNTIFS('Action Plan'!A2:A191,"5- Travaux CVC (hors abandon gaz &amp; fioul)",'Action Plan'!E2:E191,"")</f>
        <v>12</v>
      </c>
      <c r="J52" s="70" t="s">
        <v>505</v>
      </c>
      <c r="K52" s="71">
        <f>COUNTIFS('Action Plan'!A2:A191,"6- EnR / Abandon énergies fossiles",'Action Plan'!E2:E191,"-") + COUNTIFS('Action Plan'!A2:A191,"6- EnR / Abandon énergies fossiles",'Action Plan'!E2:E191,"")</f>
        <v>7</v>
      </c>
    </row>
    <row r="53" spans="2:11" ht="20.100000000000001" customHeight="1"/>
    <row r="54" spans="2:11" ht="27.6" customHeight="1"/>
    <row r="73" spans="2:11" s="15" customFormat="1" ht="21" customHeight="1">
      <c r="B73" s="42" t="s">
        <v>324</v>
      </c>
      <c r="C73" s="43">
        <f>COUNTIFS('Action Plan'!A2:A183,"7- Eau chaude sanitaire",'Action Plan'!E2:E183,"Non Applicable")</f>
        <v>0</v>
      </c>
      <c r="F73" s="91" t="s">
        <v>324</v>
      </c>
      <c r="G73" s="43">
        <f>COUNTIFS('Action Plan'!A2:A183,"8- Comptage &amp; suivi conso énergie / eau",'Action Plan'!E2:E183,"Non Applicable")</f>
        <v>0</v>
      </c>
      <c r="H73" s="33"/>
      <c r="J73" s="42" t="s">
        <v>324</v>
      </c>
      <c r="K73" s="43">
        <f>COUNTIFS('Action Plan'!A2:A191,"9- BACS / gtb",'Action Plan'!E2:E191,"Non Applicable")</f>
        <v>0</v>
      </c>
    </row>
    <row r="74" spans="2:11" s="15" customFormat="1" ht="21" customHeight="1">
      <c r="B74" s="44" t="s">
        <v>510</v>
      </c>
      <c r="C74" s="45">
        <f>COUNTIFS('Action Plan'!A2:A183,"7- Eau chaude sanitaire",'Action Plan'!E2:E183,"A investiguer")</f>
        <v>0</v>
      </c>
      <c r="F74" s="92" t="s">
        <v>510</v>
      </c>
      <c r="G74" s="45">
        <f>COUNTIFS('Action Plan'!A2:A183,"8- Comptage &amp; suivi conso énergie / eau",'Action Plan'!E2:E183,"A investiguer")</f>
        <v>0</v>
      </c>
      <c r="J74" s="44" t="s">
        <v>510</v>
      </c>
      <c r="K74" s="45">
        <f>COUNTIFS('Action Plan'!A2:A191,"9- BACS / gtb",'Action Plan'!E2:E191,"A investiguer")</f>
        <v>0</v>
      </c>
    </row>
    <row r="75" spans="2:11" s="15" customFormat="1" ht="21" customHeight="1">
      <c r="B75" s="46" t="s">
        <v>509</v>
      </c>
      <c r="C75" s="47">
        <f>COUNTIFS('Action Plan'!A2:A183,"7- Eau chaude sanitaire",'Action Plan'!E2:E183,"Préconisé")</f>
        <v>0</v>
      </c>
      <c r="F75" s="93" t="s">
        <v>509</v>
      </c>
      <c r="G75" s="47">
        <f>COUNTIFS('Action Plan'!A2:A183,"8- Comptage &amp; suivi conso énergie / eau",'Action Plan'!E2:E183,"Préconisé")</f>
        <v>0</v>
      </c>
      <c r="J75" s="46" t="s">
        <v>509</v>
      </c>
      <c r="K75" s="47">
        <f>COUNTIFS('Action Plan'!A2:A191,"9- BACS / gtb",'Action Plan'!E2:E191,"Préconisé")</f>
        <v>0</v>
      </c>
    </row>
    <row r="76" spans="2:11" s="15" customFormat="1" ht="21" customHeight="1">
      <c r="B76" s="48" t="s">
        <v>518</v>
      </c>
      <c r="C76" s="49">
        <f>COUNTIFS('Action Plan'!A2:A183,"7- Eau chaude sanitaire",'Action Plan'!E2:E183,"Validé")+COUNTIFS('Action Plan'!A2:A183,"7- Eau chaude sanitaire",'Action Plan'!E2:E183,"En cours")+COUNTIFS('Action Plan'!A2:A183,"7- Eau chaude sanitaire",'Action Plan'!E2:E183,"Réalisé")</f>
        <v>0</v>
      </c>
      <c r="F76" s="48" t="s">
        <v>518</v>
      </c>
      <c r="G76" s="49">
        <f>COUNTIFS('Action Plan'!A2:A183,"8- Comptage &amp; suivi conso énergie / eau",'Action Plan'!E2:E183,"Validé")+COUNTIFS('Action Plan'!A2:A183,"8- Comptage &amp; suivi conso énergie / eau",'Action Plan'!E2:E183,"En cours")+COUNTIFS('Action Plan'!A2:A183,"8- Comptage &amp; suivi conso énergie / eau",'Action Plan'!E2:E183,"Réalisé")</f>
        <v>0</v>
      </c>
      <c r="J76" s="48" t="s">
        <v>518</v>
      </c>
      <c r="K76" s="49">
        <f>COUNTIFS('Action Plan'!A2:A191,"9- BACS / gtb",'Action Plan'!E2:E191,"Validé")+COUNTIFS('Action Plan'!A2:A191,"9- BACS / gtb",'Action Plan'!E2:E191,"En cours")+COUNTIFS('Action Plan'!A2:A191,"9- BACS / gtb",'Action Plan'!E2:E191,"Réalisé")</f>
        <v>0</v>
      </c>
    </row>
    <row r="77" spans="2:11" s="62" customFormat="1" ht="20.100000000000001" customHeight="1">
      <c r="B77" s="70" t="s">
        <v>505</v>
      </c>
      <c r="C77" s="71">
        <f>COUNTIFS('Action Plan'!A2:A191,"7- Eau chaude sanitaire",'Action Plan'!E2:E191,"-") + COUNTIFS('Action Plan'!A2:A191,"7- Eau chaude sanitaire",'Action Plan'!E2:E191,"")</f>
        <v>6</v>
      </c>
      <c r="F77" s="94" t="s">
        <v>505</v>
      </c>
      <c r="G77" s="71">
        <f>COUNTIFS('Action Plan'!A2:A191,"8- Comptage &amp; suivi conso énergie / eau",'Action Plan'!E2:E191,"-") + COUNTIFS('Action Plan'!A2:A191,"8- Comptage &amp; suivi conso énergie / eau",'Action Plan'!E2:E191,"")</f>
        <v>6</v>
      </c>
      <c r="J77" s="70" t="s">
        <v>505</v>
      </c>
      <c r="K77" s="71">
        <f>COUNTIFS('Action Plan'!A2:A191,"9- BACS / gtb",'Action Plan'!E2:E191,"-") + COUNTIFS('Action Plan'!A2:A191,"9- BACS / gtb",'Action Plan'!E2:E191,"")</f>
        <v>9</v>
      </c>
    </row>
    <row r="78" spans="2:11" s="62" customFormat="1" ht="88.8" customHeight="1">
      <c r="B78" s="23"/>
      <c r="C78" s="72"/>
      <c r="F78" s="95"/>
      <c r="G78" s="72"/>
      <c r="J78" s="23"/>
      <c r="K78" s="72"/>
    </row>
    <row r="81" ht="10.050000000000001" customHeight="1"/>
    <row r="96" ht="19.8" customHeight="1"/>
    <row r="97" spans="2:11" s="15" customFormat="1" ht="18.899999999999999" customHeight="1">
      <c r="B97" s="42" t="s">
        <v>324</v>
      </c>
      <c r="C97" s="43">
        <f>COUNTIFS('Action Plan'!A2:A191,"10- Froid alimentaire",'Action Plan'!E2:E191,"Non Applicable")</f>
        <v>0</v>
      </c>
      <c r="F97" s="91" t="s">
        <v>324</v>
      </c>
      <c r="G97" s="43">
        <f>COUNTIFS('Action Plan'!A2:A191,"11- Organisation / communication",'Action Plan'!E2:E191,"Non Applicable")</f>
        <v>0</v>
      </c>
      <c r="J97" s="42" t="s">
        <v>324</v>
      </c>
      <c r="K97" s="43">
        <f>COUNTIFS('Action Plan'!A2:A191,"12- Achats responsables",'Action Plan'!E2:E191,"Non Applicable")</f>
        <v>0</v>
      </c>
    </row>
    <row r="98" spans="2:11" s="15" customFormat="1" ht="18.899999999999999" customHeight="1">
      <c r="B98" s="44" t="s">
        <v>510</v>
      </c>
      <c r="C98" s="45">
        <f>COUNTIFS('Action Plan'!A2:A191,"10- Froid alimentaire",'Action Plan'!E2:E191,"A investiguer")</f>
        <v>0</v>
      </c>
      <c r="F98" s="92" t="s">
        <v>510</v>
      </c>
      <c r="G98" s="45">
        <f>COUNTIFS('Action Plan'!A2:A191,"11- Organisation / communication",'Action Plan'!E2:E191,"A investiguer")</f>
        <v>0</v>
      </c>
      <c r="J98" s="44" t="s">
        <v>510</v>
      </c>
      <c r="K98" s="45">
        <f>COUNTIFS('Action Plan'!A2:A191,"12- Achats responsables",'Action Plan'!E2:E191,"A investiguer")</f>
        <v>0</v>
      </c>
    </row>
    <row r="99" spans="2:11" s="15" customFormat="1" ht="18.899999999999999" customHeight="1">
      <c r="B99" s="46" t="s">
        <v>509</v>
      </c>
      <c r="C99" s="47">
        <f>COUNTIFS('Action Plan'!A76:A255,"10- Froid alimentaire",'Action Plan'!E76:E255,"Préconisé")</f>
        <v>0</v>
      </c>
      <c r="F99" s="93" t="s">
        <v>509</v>
      </c>
      <c r="G99" s="47">
        <f>COUNTIFS('Action Plan'!A2:A191,"11- Organisation / communication",'Action Plan'!E2:E191,"Préconisé")</f>
        <v>0</v>
      </c>
      <c r="J99" s="46" t="s">
        <v>509</v>
      </c>
      <c r="K99" s="47">
        <f>COUNTIFS('Action Plan'!A2:A191,"12- Achats responsables",'Action Plan'!E2:E191,"Préconisé")</f>
        <v>0</v>
      </c>
    </row>
    <row r="100" spans="2:11" s="15" customFormat="1" ht="18.899999999999999" customHeight="1">
      <c r="B100" s="48" t="s">
        <v>518</v>
      </c>
      <c r="C100" s="49">
        <f>COUNTIFS('Action Plan'!A2:A191,"10- Froid alimentaire",'Action Plan'!E2:E191,"Validé")+COUNTIFS('Action Plan'!A2:A191,"10- Froid alimentaire",'Action Plan'!E2:E191,"En cours")+COUNTIFS('Action Plan'!A2:A191,"10- Froid alimentaire",'Action Plan'!E2:E191,"Réalisé")</f>
        <v>0</v>
      </c>
      <c r="F100" s="48" t="s">
        <v>518</v>
      </c>
      <c r="G100" s="49">
        <f>COUNTIFS('Action Plan'!A2:A191,"11- Organisation / communication",'Action Plan'!E2:E191,"Validé")+COUNTIFS('Action Plan'!A2:A191,"11- Organisation / communication",'Action Plan'!E2:E191,"En cours")+COUNTIFS('Action Plan'!A2:A191,"11- Organisation / communication",'Action Plan'!E2:E191,"Réalisé")</f>
        <v>0</v>
      </c>
      <c r="J100" s="48" t="s">
        <v>518</v>
      </c>
      <c r="K100" s="49">
        <f>COUNTIFS('Action Plan'!A2:A191,"12- Achats responsables",'Action Plan'!E2:E191,"Validé")+COUNTIFS('Action Plan'!A2:A191,"12- Achats responsables",'Action Plan'!E2:E191,"En cours")+COUNTIFS('Action Plan'!A2:A191,"12- Achats responsables",'Action Plan'!E2:E191,"Réalisé")</f>
        <v>0</v>
      </c>
    </row>
    <row r="101" spans="2:11" s="62" customFormat="1" ht="20.100000000000001" customHeight="1">
      <c r="B101" s="70" t="s">
        <v>505</v>
      </c>
      <c r="C101" s="71">
        <f>COUNTIFS('Action Plan'!A2:A191,"10- Froid alimentaire",'Action Plan'!E2:E191,"-") + COUNTIFS('Action Plan'!A2:A191,"10- Froid alimentaire",'Action Plan'!E2:E191,"")</f>
        <v>8</v>
      </c>
      <c r="F101" s="94" t="s">
        <v>505</v>
      </c>
      <c r="G101" s="71">
        <f>COUNTIFS('Action Plan'!A2:A191,"11- Organisation / communication",'Action Plan'!E2:E191,"-") + COUNTIFS('Action Plan'!A2:A191,"11- Organisation / communication",'Action Plan'!E2:E191,"")</f>
        <v>9</v>
      </c>
      <c r="J101" s="70" t="s">
        <v>505</v>
      </c>
      <c r="K101" s="71">
        <f>COUNTIFS('Action Plan'!A2:A191,"12- Achats responsables",'Action Plan'!E2:E191,"-") + COUNTIFS('Action Plan'!A2:A191,"12- Achats responsables",'Action Plan'!E2:E191,"")</f>
        <v>6</v>
      </c>
    </row>
    <row r="102" spans="2:11" s="62" customFormat="1" ht="20.100000000000001" customHeight="1">
      <c r="B102" s="23"/>
      <c r="C102" s="72"/>
      <c r="F102" s="95"/>
      <c r="G102" s="72"/>
      <c r="J102" s="23"/>
      <c r="K102" s="72"/>
    </row>
    <row r="103" spans="2:11" s="62" customFormat="1" ht="20.100000000000001" customHeight="1">
      <c r="B103" s="23"/>
      <c r="C103" s="72"/>
      <c r="F103" s="95"/>
      <c r="G103" s="72"/>
      <c r="J103" s="23"/>
      <c r="K103" s="72"/>
    </row>
    <row r="104" spans="2:11" s="62" customFormat="1" ht="20.100000000000001" customHeight="1">
      <c r="B104" s="23"/>
      <c r="C104" s="72"/>
      <c r="F104" s="95"/>
      <c r="G104" s="72"/>
      <c r="J104" s="23"/>
      <c r="K104" s="72"/>
    </row>
    <row r="105" spans="2:11" s="62" customFormat="1" ht="19.8" customHeight="1">
      <c r="B105" s="23"/>
      <c r="C105" s="72"/>
      <c r="F105" s="95"/>
      <c r="G105" s="72"/>
      <c r="J105" s="23"/>
      <c r="K105" s="72"/>
    </row>
    <row r="106" spans="2:11" s="62" customFormat="1" ht="20.100000000000001" customHeight="1">
      <c r="B106" s="23"/>
      <c r="C106" s="72"/>
      <c r="F106" s="95"/>
      <c r="G106" s="72"/>
      <c r="J106" s="23"/>
      <c r="K106" s="72"/>
    </row>
    <row r="109" spans="2:11" ht="10.050000000000001" customHeight="1"/>
    <row r="124" spans="2:11" ht="20.399999999999999" customHeight="1"/>
    <row r="125" spans="2:11" s="15" customFormat="1" ht="18.45" customHeight="1">
      <c r="B125" s="63" t="s">
        <v>324</v>
      </c>
      <c r="C125" s="64">
        <f>COUNTIFS('Action Plan'!A76:A255,"13- Eau",'Action Plan'!E76:E255,"Non Applicable")</f>
        <v>0</v>
      </c>
      <c r="F125" s="96" t="s">
        <v>324</v>
      </c>
      <c r="G125" s="64">
        <f>COUNTIFS('Action Plan'!A2:A191,"14- Numérique",'Action Plan'!E2:E191,"Non Applicable")</f>
        <v>0</v>
      </c>
      <c r="H125" s="33"/>
      <c r="J125" s="63" t="s">
        <v>324</v>
      </c>
      <c r="K125" s="64">
        <f>COUNTIFS('Action Plan'!A2:A191,"15- Biodiversité",'Action Plan'!E2:E191,"Non Applicable")</f>
        <v>0</v>
      </c>
    </row>
    <row r="126" spans="2:11" s="15" customFormat="1" ht="18.45" customHeight="1">
      <c r="B126" s="65" t="s">
        <v>510</v>
      </c>
      <c r="C126" s="66">
        <f>COUNTIFS('Action Plan'!A76:A255,"13- Eau",'Action Plan'!E76:E255,"A investiguer")</f>
        <v>0</v>
      </c>
      <c r="F126" s="97" t="s">
        <v>510</v>
      </c>
      <c r="G126" s="66">
        <f>COUNTIFS('Action Plan'!A76:A255,"14- Numérique",'Action Plan'!E76:E255,"A investiguer")</f>
        <v>0</v>
      </c>
      <c r="J126" s="65" t="s">
        <v>510</v>
      </c>
      <c r="K126" s="66">
        <f>COUNTIFS('Action Plan'!A2:A191,"15- Biodiversité",'Action Plan'!E2:E191,"A investiguer")</f>
        <v>0</v>
      </c>
    </row>
    <row r="127" spans="2:11" s="15" customFormat="1" ht="18.45" customHeight="1">
      <c r="B127" s="67" t="s">
        <v>509</v>
      </c>
      <c r="C127" s="68">
        <f>COUNTIFS('Action Plan'!A76:A255,"13- Eau",'Action Plan'!E76:E255,"Préconisé")</f>
        <v>0</v>
      </c>
      <c r="F127" s="98" t="s">
        <v>509</v>
      </c>
      <c r="G127" s="68">
        <f>COUNTIFS('Action Plan'!A76:A255,"14- Numérique",'Action Plan'!E76:E255,"Préconisé")</f>
        <v>0</v>
      </c>
      <c r="J127" s="67" t="s">
        <v>509</v>
      </c>
      <c r="K127" s="68">
        <f>COUNTIFS('Action Plan'!A2:A191,"15- Biodiversité",'Action Plan'!E2:E191,"Préconisé")</f>
        <v>0</v>
      </c>
    </row>
    <row r="128" spans="2:11" s="15" customFormat="1" ht="18.45" customHeight="1">
      <c r="B128" s="48" t="s">
        <v>518</v>
      </c>
      <c r="C128" s="69">
        <f>COUNTIFS('Action Plan'!A2:A192,"13- Eau",'Action Plan'!E2:E192,"Réalisé")+COUNTIFS('Action Plan'!A2:A192,"13- Eau",'Action Plan'!E2:E192,"En cours")+COUNTIFS('Action Plan'!A2:A192,"13- Eau",'Action Plan'!E2:E192,"Validé")</f>
        <v>0</v>
      </c>
      <c r="F128" s="48" t="s">
        <v>518</v>
      </c>
      <c r="G128" s="69">
        <f>COUNTIFS('Action Plan'!A2:A191,"14- Numérique",'Action Plan'!E2:E191,"Réalisé")+COUNTIFS('Action Plan'!A2:A191,"14- Numérique",'Action Plan'!E2:E191,"En cours")+COUNTIFS('Action Plan'!A2:A191,"14- Numérique",'Action Plan'!E2:E191,"Validé")</f>
        <v>0</v>
      </c>
      <c r="J128" s="48" t="s">
        <v>518</v>
      </c>
      <c r="K128" s="69">
        <f>COUNTIFS('Action Plan'!A2:A191,"15- Biodiversités",'Action Plan'!E2:E191,"Validé")+COUNTIFS('Action Plan'!A2:A191,"15- Biodiversité",'Action Plan'!E2:E191,"En cours")+COUNTIFS('Action Plan'!A2:A191,"15- Biodiversité",'Action Plan'!E2:E191,"Réalisé")</f>
        <v>0</v>
      </c>
    </row>
    <row r="129" spans="2:11" s="62" customFormat="1" ht="20.100000000000001" customHeight="1">
      <c r="B129" s="70" t="s">
        <v>505</v>
      </c>
      <c r="C129" s="71">
        <f>COUNTIFS('Action Plan'!A2:A191,"13- Eau",'Action Plan'!E2:E191,"-") + COUNTIFS('Action Plan'!A2:A191,"13- Eau",'Action Plan'!E2:E191,"")</f>
        <v>6</v>
      </c>
      <c r="F129" s="94" t="s">
        <v>505</v>
      </c>
      <c r="G129" s="71">
        <f>COUNTIFS('Action Plan'!A2:A191,"14- Numérique",'Action Plan'!E2:E191,"-") + COUNTIFS('Action Plan'!A2:A191,"14- Numérique",'Action Plan'!E2:E191,"")</f>
        <v>9</v>
      </c>
      <c r="J129" s="70" t="s">
        <v>505</v>
      </c>
      <c r="K129" s="71">
        <f>COUNTIFS('Action Plan'!A2:A191,"15- Biodiversité",'Action Plan'!E2:E191,"-") + COUNTIFS('Action Plan'!A2:A191,"15- Biodiversité",'Action Plan'!E2:E191,"")</f>
        <v>11</v>
      </c>
    </row>
    <row r="130" spans="2:11" s="62" customFormat="1" ht="20.100000000000001" customHeight="1">
      <c r="B130" s="23"/>
      <c r="C130" s="72"/>
      <c r="F130" s="95"/>
      <c r="G130" s="72"/>
      <c r="J130" s="23"/>
      <c r="K130" s="72"/>
    </row>
    <row r="131" spans="2:11" s="62" customFormat="1" ht="20.100000000000001" customHeight="1">
      <c r="B131" s="23"/>
      <c r="C131" s="72"/>
      <c r="F131" s="95"/>
      <c r="G131" s="72"/>
      <c r="J131" s="23"/>
      <c r="K131" s="72"/>
    </row>
    <row r="132" spans="2:11" s="62" customFormat="1" ht="20.100000000000001" customHeight="1">
      <c r="B132" s="23"/>
      <c r="C132" s="72"/>
      <c r="F132" s="95"/>
      <c r="G132" s="72"/>
      <c r="J132" s="23"/>
      <c r="K132" s="72"/>
    </row>
    <row r="133" spans="2:11" s="62" customFormat="1" ht="20.100000000000001" customHeight="1">
      <c r="B133" s="23"/>
      <c r="C133" s="72"/>
      <c r="F133" s="95"/>
      <c r="G133" s="72"/>
      <c r="J133" s="23"/>
      <c r="K133" s="72"/>
    </row>
    <row r="134" spans="2:11" s="62" customFormat="1" ht="20.100000000000001" customHeight="1">
      <c r="B134" s="23"/>
      <c r="C134" s="72"/>
      <c r="F134" s="95"/>
      <c r="G134" s="72"/>
      <c r="J134" s="23"/>
      <c r="K134" s="72"/>
    </row>
    <row r="137" spans="2:11" ht="10.050000000000001" customHeight="1"/>
    <row r="152" spans="2:11" ht="27.6" customHeight="1"/>
    <row r="153" spans="2:11" s="15" customFormat="1" ht="18.899999999999999" customHeight="1">
      <c r="B153" s="42" t="s">
        <v>324</v>
      </c>
      <c r="C153" s="43">
        <f>COUNTIFS('Action Plan'!A76:A257,"16- Mobilité",'Action Plan'!E76:E257,"Non Applicable")</f>
        <v>0</v>
      </c>
      <c r="F153" s="91" t="s">
        <v>324</v>
      </c>
      <c r="G153" s="43">
        <f>COUNTIFS('Action Plan'!A76:A257,"17- Réduction &amp; gestion des déchets",'Action Plan'!E76:E257,"Non Applicable")</f>
        <v>0</v>
      </c>
      <c r="H153" s="33"/>
      <c r="J153" s="42" t="s">
        <v>324</v>
      </c>
      <c r="K153" s="43">
        <f>COUNTIFS('Action Plan'!A2:A192,"18- Adaptation au risque climatique",'Action Plan'!E2:E192,"Non Applicable")</f>
        <v>0</v>
      </c>
    </row>
    <row r="154" spans="2:11" s="15" customFormat="1" ht="18.899999999999999" customHeight="1">
      <c r="B154" s="44" t="s">
        <v>510</v>
      </c>
      <c r="C154" s="45">
        <f>COUNTIFS('Action Plan'!A76:A257,"16- Mobilité",'Action Plan'!E76:E257,"A investiguer")</f>
        <v>0</v>
      </c>
      <c r="F154" s="92" t="s">
        <v>510</v>
      </c>
      <c r="G154" s="45">
        <f>COUNTIFS('Action Plan'!A76:A257,"17- Réduction &amp; gestion des déchets",'Action Plan'!E76:E257,"A investiguer")</f>
        <v>0</v>
      </c>
      <c r="J154" s="44" t="s">
        <v>510</v>
      </c>
      <c r="K154" s="45">
        <f>COUNTIFS('Action Plan'!A2:A192,"18- Adaptation au risque climatique",'Action Plan'!E2:E192,"A investiguer")</f>
        <v>0</v>
      </c>
    </row>
    <row r="155" spans="2:11" s="15" customFormat="1" ht="18.899999999999999" customHeight="1">
      <c r="B155" s="46" t="s">
        <v>509</v>
      </c>
      <c r="C155" s="47">
        <f>COUNTIFS('Action Plan'!A76:A257,"16- Mobilité",'Action Plan'!E76:E257,"Préconisé")</f>
        <v>0</v>
      </c>
      <c r="F155" s="93" t="s">
        <v>509</v>
      </c>
      <c r="G155" s="47">
        <f>COUNTIFS('Action Plan'!A76:A257,"17- Réduction &amp; gestion des déchets",'Action Plan'!E76:E257,"Préconisé")</f>
        <v>0</v>
      </c>
      <c r="J155" s="46" t="s">
        <v>509</v>
      </c>
      <c r="K155" s="47">
        <f>COUNTIFS('Action Plan'!A2:A192,"18- Adaptation au risque climatique",'Action Plan'!E2:E192,"Préconisé")</f>
        <v>0</v>
      </c>
    </row>
    <row r="156" spans="2:11" s="15" customFormat="1" ht="18.899999999999999" customHeight="1">
      <c r="B156" s="48" t="s">
        <v>518</v>
      </c>
      <c r="C156" s="49">
        <f>COUNTIFS('Action Plan'!A2:A192,"16- Mobilité",'Action Plan'!E2:E192,"Réalisé")+COUNTIFS('Action Plan'!A2:A192,"16- Mobilité",'Action Plan'!E2:E192,"En cours")+COUNTIFS('Action Plan'!A2:A192,"16- Mobilité",'Action Plan'!E2:E192,"Validé")</f>
        <v>0</v>
      </c>
      <c r="F156" s="48" t="s">
        <v>518</v>
      </c>
      <c r="G156" s="49">
        <f>COUNTIFS('Action Plan'!A2:A192,"17- Réduction &amp; gestion des déchets",'Action Plan'!E2:E192,"Réalisé")+COUNTIFS('Action Plan'!A2:A192,"17- Réduction &amp; gestion des déchets",'Action Plan'!E2:E192,"En cours")+COUNTIFS('Action Plan'!A2:A192,"17- Réduction &amp; gestion des déchets",'Action Plan'!E2:E192,"Validé")</f>
        <v>0</v>
      </c>
      <c r="J156" s="48" t="s">
        <v>518</v>
      </c>
      <c r="K156" s="49">
        <f>COUNTIFS('Action Plan'!A2:A192,"18- Adaptation au risque climatique",'Action Plan'!E2:E192,"Réalisé")+COUNTIFS('Action Plan'!A2:A192,"18- Adaptation au risque climatique",'Action Plan'!E2:E192,"En cours")+COUNTIFS('Action Plan'!A2:A192,"18- Adaptation au risque climatique",'Action Plan'!E2:E192,"Validé")</f>
        <v>0</v>
      </c>
    </row>
    <row r="157" spans="2:11" s="62" customFormat="1" ht="20.100000000000001" customHeight="1">
      <c r="B157" s="70" t="s">
        <v>505</v>
      </c>
      <c r="C157" s="71">
        <f>COUNTIFS('Action Plan'!A2:A191,"16- Mobilité",'Action Plan'!E2:E191,"-") + COUNTIFS('Action Plan'!A2:A191,"16- Mobilité",'Action Plan'!E2:E191,"")</f>
        <v>7</v>
      </c>
      <c r="F157" s="94" t="s">
        <v>505</v>
      </c>
      <c r="G157" s="71">
        <f>COUNTIFS('Action Plan'!A2:A191,"17- Réduction &amp; gestion des déchets",'Action Plan'!E2:E191,"-") + COUNTIFS('Action Plan'!A2:A191,"17- Réduction &amp; gestion des déchets",'Action Plan'!E2:E191,"")</f>
        <v>7</v>
      </c>
      <c r="J157" s="70" t="s">
        <v>505</v>
      </c>
      <c r="K157" s="71">
        <f>COUNTIFS('Action Plan'!A2:A191,"18- Adaptation au risque climatique",'Action Plan'!E2:E191,"-") + COUNTIFS('Action Plan'!A2:A191,"18- Adaptation au risque climatique",'Action Plan'!E2:E191,"")</f>
        <v>9</v>
      </c>
    </row>
    <row r="158" spans="2:11" s="62" customFormat="1" ht="118.2" customHeight="1">
      <c r="B158" s="23"/>
      <c r="C158" s="72"/>
      <c r="F158" s="95"/>
      <c r="G158" s="72"/>
      <c r="J158" s="23"/>
      <c r="K158" s="72"/>
    </row>
    <row r="159" spans="2:11" s="62" customFormat="1" ht="20.100000000000001" customHeight="1">
      <c r="B159" s="23"/>
      <c r="C159" s="72"/>
      <c r="F159" s="95"/>
      <c r="G159" s="72"/>
      <c r="J159" s="23"/>
      <c r="K159" s="72"/>
    </row>
    <row r="162" ht="10.050000000000001" customHeight="1"/>
    <row r="179" spans="1:12" s="15" customFormat="1" ht="18.899999999999999" customHeight="1">
      <c r="B179" s="42" t="s">
        <v>324</v>
      </c>
      <c r="C179" s="43">
        <f>COUNTIFS('Action Plan'!A2:A192,"19- Autres actions environnementales",'Action Plan'!E2:E192,"Non Applicable")</f>
        <v>0</v>
      </c>
      <c r="F179" s="26"/>
    </row>
    <row r="180" spans="1:12" s="15" customFormat="1" ht="18.899999999999999" customHeight="1">
      <c r="B180" s="44" t="s">
        <v>510</v>
      </c>
      <c r="C180" s="45">
        <f>COUNTIFS('Action Plan'!A2:A192,"19- Autres actions environnementales",'Action Plan'!E2:E192,"A investiguer")</f>
        <v>0</v>
      </c>
      <c r="F180" s="26"/>
    </row>
    <row r="181" spans="1:12" s="15" customFormat="1" ht="18.899999999999999" customHeight="1">
      <c r="B181" s="46" t="s">
        <v>509</v>
      </c>
      <c r="C181" s="47">
        <f>COUNTIFS('Action Plan'!A2:A192,"19- Autres actions environnementales",'Action Plan'!E2:E192,"Préconisé")</f>
        <v>0</v>
      </c>
      <c r="F181" s="26"/>
    </row>
    <row r="182" spans="1:12" s="15" customFormat="1" ht="18.899999999999999" customHeight="1">
      <c r="B182" s="48" t="s">
        <v>518</v>
      </c>
      <c r="C182" s="49">
        <f>COUNTIFS('Action Plan'!A2:A192,"19- Autres actions environnementales",'Action Plan'!E2:E192,"Réalisé")+COUNTIFS('Action Plan'!A2:A192,"19- Autres actions environnementales",'Action Plan'!E2:E192,"En cours")+COUNTIFS('Action Plan'!A2:A192,"19- Autres actions environnementales",'Action Plan'!E2:E192,"Validé")</f>
        <v>0</v>
      </c>
      <c r="F182" s="26"/>
    </row>
    <row r="183" spans="1:12" s="62" customFormat="1" ht="20.100000000000001" customHeight="1">
      <c r="B183" s="70" t="s">
        <v>505</v>
      </c>
      <c r="C183" s="71">
        <f>COUNTIFS('Action Plan'!A2:A191,"19- Autres actions environnementales",'Action Plan'!E2:E191,"-")</f>
        <v>10</v>
      </c>
      <c r="F183" s="26"/>
      <c r="G183" s="15"/>
      <c r="H183" s="15"/>
      <c r="I183" s="15"/>
      <c r="J183" s="15"/>
      <c r="K183" s="15"/>
      <c r="L183" s="15"/>
    </row>
    <row r="184" spans="1:12" s="62" customFormat="1" ht="20.100000000000001" customHeight="1">
      <c r="B184" s="23"/>
      <c r="C184" s="72"/>
      <c r="F184" s="26"/>
      <c r="G184" s="15"/>
      <c r="H184" s="15"/>
      <c r="I184" s="15"/>
      <c r="J184" s="15"/>
      <c r="K184" s="15"/>
      <c r="L184" s="15"/>
    </row>
    <row r="185" spans="1:12" s="62" customFormat="1" ht="15" customHeight="1">
      <c r="B185" s="23"/>
      <c r="C185" s="72"/>
      <c r="F185" s="26"/>
      <c r="G185" s="15"/>
      <c r="H185" s="15"/>
      <c r="I185" s="15"/>
      <c r="J185" s="15"/>
      <c r="K185" s="15"/>
      <c r="L185" s="15"/>
    </row>
    <row r="186" spans="1:12" s="62" customFormat="1" ht="13.2" customHeight="1">
      <c r="B186" s="23"/>
      <c r="C186" s="72"/>
      <c r="F186" s="95"/>
      <c r="G186" s="72"/>
      <c r="J186" s="23"/>
      <c r="K186" s="72"/>
    </row>
    <row r="187" spans="1:12" s="62" customFormat="1" ht="225.6" customHeight="1">
      <c r="A187" s="187" t="s">
        <v>577</v>
      </c>
      <c r="B187" s="188"/>
      <c r="C187" s="188"/>
      <c r="D187" s="188"/>
      <c r="E187" s="188"/>
      <c r="F187" s="188"/>
      <c r="G187" s="188"/>
      <c r="H187" s="188"/>
      <c r="I187" s="113"/>
      <c r="J187" s="113"/>
      <c r="K187" s="113"/>
      <c r="L187" s="113"/>
    </row>
    <row r="188" spans="1:12" ht="56.4" customHeight="1">
      <c r="A188" s="41" t="s">
        <v>560</v>
      </c>
      <c r="B188" s="40"/>
      <c r="C188" s="38"/>
      <c r="D188" s="38"/>
      <c r="E188" s="38"/>
      <c r="F188" s="39"/>
      <c r="G188" s="38"/>
      <c r="H188" s="38"/>
      <c r="I188" s="38"/>
      <c r="J188" s="38"/>
      <c r="K188" s="38"/>
      <c r="L188" s="38"/>
    </row>
    <row r="189" spans="1:12" ht="36.6" customHeight="1">
      <c r="A189" s="184" t="s">
        <v>3</v>
      </c>
      <c r="B189" s="185"/>
      <c r="C189" s="184" t="s">
        <v>499</v>
      </c>
      <c r="D189" s="186"/>
      <c r="E189" s="185"/>
      <c r="F189" s="133" t="s">
        <v>493</v>
      </c>
      <c r="G189" s="148" t="s">
        <v>500</v>
      </c>
      <c r="H189" s="132"/>
      <c r="I189" s="132"/>
      <c r="J189" s="132"/>
      <c r="K189" s="132"/>
      <c r="L189" s="132"/>
    </row>
    <row r="190" spans="1:12" ht="36.6" customHeight="1">
      <c r="A190" s="136" t="str" cm="1">
        <f t="array" ref="A190">_xlfn._xlws.FILTER(Actions[Famille Fidji ACT], ((Actions[Stade]="A investiguer") + (Actions[Stade]="Préconisé") + (Actions[Stade]="En cours") + (Actions[Stade]="Validé")) * (Actions[A suivre en Comité vert]="Comité vert") * (Actions[Quick win ou rénovation]="Quick win"), "Pas d'action comité vert")</f>
        <v>Pas d'action comité vert</v>
      </c>
      <c r="B190" s="137"/>
      <c r="C190" s="136" t="str" cm="1">
        <f t="array" ref="C190">_xlfn._xlws.FILTER(Actions[Libellé court Fidji ACT 
(choisir d''abord la famille)], ((Actions[Stade]="A investiguer") + (Actions[Stade]="Préconisé") + (Actions[Stade]="En cours") + (Actions[Stade]="Validé")) * (Actions[A suivre en Comité vert]="Comité vert") * (Actions[Quick win ou rénovation]="Quick win"), "")</f>
        <v/>
      </c>
      <c r="D190" s="138"/>
      <c r="E190" s="137"/>
      <c r="F190" s="143" t="str" cm="1">
        <f t="array" ref="F190">_xlfn._xlws.FILTER(Actions[Stade], ((Actions[Stade]="A investiguer") + (Actions[Stade]="Préconisé") + (Actions[Stade]="Validé") + (Actions[Stade]="En cours")) * (Actions[A suivre en Comité vert]="Comité vert") * (Actions[Quick win ou rénovation]="Quick win"), "")</f>
        <v/>
      </c>
      <c r="G190" s="136" t="str" cm="1">
        <f t="array" ref="G190">_xlfn._xlws.FILTER(Actions[Libellé de l’action
(à personnaliser)], ((Actions[Stade]="A investiguer") + (Actions[Stade]="Préconisé") + (Actions[Stade]="Validé") + (Actions[Stade]="En cours")) * (Actions[A suivre en Comité vert]="Comité vert") * (Actions[Quick win ou rénovation]="Quick win"), "")</f>
        <v/>
      </c>
      <c r="H190" s="138"/>
      <c r="I190" s="138"/>
      <c r="J190" s="138"/>
      <c r="K190" s="138"/>
      <c r="L190" s="137"/>
    </row>
    <row r="191" spans="1:12" ht="36.6" customHeight="1">
      <c r="A191" s="136"/>
      <c r="B191" s="137"/>
      <c r="C191" s="136"/>
      <c r="D191" s="138"/>
      <c r="E191" s="137"/>
      <c r="F191" s="143"/>
      <c r="G191" s="136"/>
      <c r="H191" s="138"/>
      <c r="I191" s="138"/>
      <c r="J191" s="138"/>
      <c r="K191" s="138"/>
      <c r="L191" s="137"/>
    </row>
    <row r="192" spans="1:12" ht="36.6" customHeight="1">
      <c r="A192" s="136"/>
      <c r="B192" s="137"/>
      <c r="C192" s="136"/>
      <c r="D192" s="138"/>
      <c r="E192" s="137"/>
      <c r="F192" s="143"/>
      <c r="G192" s="136"/>
      <c r="H192" s="138"/>
      <c r="I192" s="138"/>
      <c r="J192" s="138"/>
      <c r="K192" s="138"/>
      <c r="L192" s="137"/>
    </row>
    <row r="193" spans="1:12" ht="36.6" customHeight="1">
      <c r="A193" s="136"/>
      <c r="B193" s="137"/>
      <c r="C193" s="136"/>
      <c r="D193" s="138"/>
      <c r="E193" s="137"/>
      <c r="F193" s="143"/>
      <c r="G193" s="136"/>
      <c r="H193" s="138"/>
      <c r="I193" s="138"/>
      <c r="J193" s="138"/>
      <c r="K193" s="138"/>
      <c r="L193" s="137"/>
    </row>
    <row r="194" spans="1:12" ht="36.6" customHeight="1">
      <c r="A194" s="136"/>
      <c r="B194" s="137"/>
      <c r="C194" s="136"/>
      <c r="D194" s="138"/>
      <c r="E194" s="137"/>
      <c r="F194" s="143"/>
      <c r="G194" s="136"/>
      <c r="H194" s="138"/>
      <c r="I194" s="138"/>
      <c r="J194" s="138"/>
      <c r="K194" s="138"/>
      <c r="L194" s="137"/>
    </row>
    <row r="195" spans="1:12" ht="36.6" customHeight="1">
      <c r="A195" s="136"/>
      <c r="B195" s="137"/>
      <c r="C195" s="136"/>
      <c r="D195" s="138"/>
      <c r="E195" s="137"/>
      <c r="F195" s="143"/>
      <c r="G195" s="136"/>
      <c r="H195" s="138"/>
      <c r="I195" s="138"/>
      <c r="J195" s="138"/>
      <c r="K195" s="138"/>
      <c r="L195" s="137"/>
    </row>
    <row r="196" spans="1:12" ht="36.6" customHeight="1">
      <c r="A196" s="136"/>
      <c r="B196" s="137"/>
      <c r="C196" s="136"/>
      <c r="D196" s="138"/>
      <c r="E196" s="137"/>
      <c r="F196" s="143"/>
      <c r="G196" s="136"/>
      <c r="H196" s="138"/>
      <c r="I196" s="138"/>
      <c r="J196" s="138"/>
      <c r="K196" s="138"/>
      <c r="L196" s="137"/>
    </row>
    <row r="197" spans="1:12" ht="36.6" customHeight="1">
      <c r="A197" s="136"/>
      <c r="B197" s="137"/>
      <c r="C197" s="136"/>
      <c r="D197" s="138"/>
      <c r="E197" s="137"/>
      <c r="F197" s="143"/>
      <c r="G197" s="136"/>
      <c r="H197" s="138"/>
      <c r="I197" s="138"/>
      <c r="J197" s="138"/>
      <c r="K197" s="138"/>
      <c r="L197" s="137"/>
    </row>
    <row r="198" spans="1:12" ht="36.6" customHeight="1">
      <c r="A198" s="136"/>
      <c r="B198" s="137"/>
      <c r="C198" s="136"/>
      <c r="D198" s="138"/>
      <c r="E198" s="137"/>
      <c r="F198" s="143"/>
      <c r="G198" s="136"/>
      <c r="H198" s="138"/>
      <c r="I198" s="138"/>
      <c r="J198" s="138"/>
      <c r="K198" s="138"/>
      <c r="L198" s="137"/>
    </row>
    <row r="199" spans="1:12" ht="36.6" customHeight="1">
      <c r="A199" s="136"/>
      <c r="B199" s="137"/>
      <c r="C199" s="136"/>
      <c r="D199" s="138"/>
      <c r="E199" s="137"/>
      <c r="F199" s="143"/>
      <c r="G199" s="136"/>
      <c r="H199" s="138"/>
      <c r="I199" s="138"/>
      <c r="J199" s="138"/>
      <c r="K199" s="138"/>
      <c r="L199" s="137"/>
    </row>
    <row r="200" spans="1:12" ht="36.6" customHeight="1">
      <c r="A200" s="136"/>
      <c r="B200" s="137"/>
      <c r="C200" s="136"/>
      <c r="D200" s="138"/>
      <c r="E200" s="137"/>
      <c r="F200" s="143"/>
      <c r="G200" s="136"/>
      <c r="H200" s="138"/>
      <c r="I200" s="138"/>
      <c r="J200" s="138"/>
      <c r="K200" s="138"/>
      <c r="L200" s="137"/>
    </row>
    <row r="201" spans="1:12" ht="36.6" customHeight="1">
      <c r="A201" s="136"/>
      <c r="B201" s="137"/>
      <c r="C201" s="136"/>
      <c r="D201" s="138"/>
      <c r="E201" s="137"/>
      <c r="F201" s="143"/>
      <c r="G201" s="136"/>
      <c r="H201" s="138"/>
      <c r="I201" s="138"/>
      <c r="J201" s="138"/>
      <c r="K201" s="138"/>
      <c r="L201" s="137"/>
    </row>
    <row r="202" spans="1:12" ht="36.6" customHeight="1">
      <c r="A202" s="136"/>
      <c r="B202" s="137"/>
      <c r="C202" s="136"/>
      <c r="D202" s="138"/>
      <c r="E202" s="137"/>
      <c r="F202" s="143"/>
      <c r="G202" s="136"/>
      <c r="H202" s="138"/>
      <c r="I202" s="138"/>
      <c r="J202" s="138"/>
      <c r="K202" s="138"/>
      <c r="L202" s="137"/>
    </row>
    <row r="203" spans="1:12" ht="36.6" customHeight="1">
      <c r="A203" s="136"/>
      <c r="B203" s="137"/>
      <c r="C203" s="136"/>
      <c r="D203" s="138"/>
      <c r="E203" s="137"/>
      <c r="F203" s="143"/>
      <c r="G203" s="136"/>
      <c r="H203" s="138"/>
      <c r="I203" s="138"/>
      <c r="J203" s="138"/>
      <c r="K203" s="138"/>
      <c r="L203" s="137"/>
    </row>
    <row r="204" spans="1:12" ht="36.6" customHeight="1">
      <c r="A204" s="136"/>
      <c r="B204" s="137"/>
      <c r="C204" s="136"/>
      <c r="D204" s="138"/>
      <c r="E204" s="137"/>
      <c r="F204" s="143"/>
      <c r="G204" s="136"/>
      <c r="H204" s="138"/>
      <c r="I204" s="138"/>
      <c r="J204" s="138"/>
      <c r="K204" s="138"/>
      <c r="L204" s="137"/>
    </row>
    <row r="205" spans="1:12" ht="36.6" customHeight="1">
      <c r="A205" s="136"/>
      <c r="B205" s="137"/>
      <c r="C205" s="136"/>
      <c r="D205" s="138"/>
      <c r="E205" s="137"/>
      <c r="F205" s="143"/>
      <c r="G205" s="136"/>
      <c r="H205" s="138"/>
      <c r="I205" s="138"/>
      <c r="J205" s="138"/>
      <c r="K205" s="138"/>
      <c r="L205" s="137"/>
    </row>
    <row r="206" spans="1:12" ht="36.6" customHeight="1">
      <c r="A206" s="136"/>
      <c r="B206" s="137"/>
      <c r="C206" s="136"/>
      <c r="D206" s="138"/>
      <c r="E206" s="137"/>
      <c r="F206" s="143"/>
      <c r="G206" s="136"/>
      <c r="H206" s="138"/>
      <c r="I206" s="138"/>
      <c r="J206" s="138"/>
      <c r="K206" s="138"/>
      <c r="L206" s="137"/>
    </row>
    <row r="207" spans="1:12" ht="36.6" customHeight="1">
      <c r="A207" s="136"/>
      <c r="B207" s="137"/>
      <c r="C207" s="136"/>
      <c r="D207" s="138"/>
      <c r="E207" s="137"/>
      <c r="F207" s="143"/>
      <c r="G207" s="136"/>
      <c r="H207" s="138"/>
      <c r="I207" s="138"/>
      <c r="J207" s="138"/>
      <c r="K207" s="138"/>
      <c r="L207" s="137"/>
    </row>
    <row r="208" spans="1:12" ht="36.6" customHeight="1">
      <c r="A208" s="136"/>
      <c r="B208" s="137"/>
      <c r="C208" s="136"/>
      <c r="D208" s="138"/>
      <c r="E208" s="137"/>
      <c r="F208" s="143"/>
      <c r="G208" s="136"/>
      <c r="H208" s="138"/>
      <c r="I208" s="138"/>
      <c r="J208" s="138"/>
      <c r="K208" s="138"/>
      <c r="L208" s="137"/>
    </row>
    <row r="209" spans="1:12" ht="36.6" customHeight="1">
      <c r="A209" s="136"/>
      <c r="B209" s="137"/>
      <c r="C209" s="136"/>
      <c r="D209" s="138"/>
      <c r="E209" s="137"/>
      <c r="F209" s="143"/>
      <c r="G209" s="136"/>
      <c r="H209" s="138"/>
      <c r="I209" s="138"/>
      <c r="J209" s="138"/>
      <c r="K209" s="138"/>
      <c r="L209" s="137"/>
    </row>
    <row r="210" spans="1:12" ht="36.6" customHeight="1">
      <c r="A210" s="136"/>
      <c r="B210" s="137"/>
      <c r="C210" s="136"/>
      <c r="D210" s="138"/>
      <c r="E210" s="137"/>
      <c r="F210" s="143"/>
      <c r="G210" s="136"/>
      <c r="H210" s="138"/>
      <c r="I210" s="138"/>
      <c r="J210" s="138"/>
      <c r="K210" s="138"/>
      <c r="L210" s="137"/>
    </row>
    <row r="211" spans="1:12" ht="36.6" customHeight="1">
      <c r="A211" s="116"/>
      <c r="B211" s="116"/>
      <c r="C211" s="116"/>
      <c r="D211" s="116"/>
      <c r="E211" s="116"/>
      <c r="F211" s="117"/>
      <c r="G211" s="116"/>
      <c r="H211" s="116"/>
      <c r="I211" s="116"/>
      <c r="J211" s="116"/>
      <c r="K211" s="116"/>
      <c r="L211" s="116"/>
    </row>
    <row r="212" spans="1:12" ht="36.6" customHeight="1">
      <c r="A212" s="116"/>
      <c r="B212" s="116"/>
      <c r="C212" s="116"/>
      <c r="D212" s="116"/>
      <c r="E212" s="116"/>
      <c r="F212" s="117"/>
      <c r="G212" s="116"/>
      <c r="H212" s="116"/>
      <c r="I212" s="116"/>
      <c r="J212" s="116"/>
      <c r="K212" s="116"/>
      <c r="L212" s="116"/>
    </row>
    <row r="213" spans="1:12" ht="36.6" customHeight="1">
      <c r="A213" s="116"/>
      <c r="B213" s="116"/>
      <c r="C213" s="116"/>
      <c r="D213" s="116"/>
      <c r="E213" s="116"/>
      <c r="F213" s="117"/>
      <c r="G213" s="116"/>
      <c r="H213" s="116"/>
      <c r="I213" s="116"/>
      <c r="J213" s="116"/>
      <c r="K213" s="116"/>
      <c r="L213" s="116"/>
    </row>
    <row r="214" spans="1:12" s="108" customFormat="1" ht="228" customHeight="1">
      <c r="A214" s="189" t="s">
        <v>579</v>
      </c>
      <c r="B214" s="190"/>
      <c r="C214" s="190"/>
      <c r="D214" s="190"/>
      <c r="E214" s="190"/>
      <c r="F214" s="190"/>
      <c r="G214" s="190"/>
      <c r="H214" s="190"/>
      <c r="I214" s="121"/>
      <c r="J214" s="121"/>
      <c r="K214" s="121"/>
      <c r="L214" s="121"/>
    </row>
    <row r="215" spans="1:12" ht="57.6" customHeight="1">
      <c r="A215" s="109" t="s">
        <v>559</v>
      </c>
      <c r="B215" s="40"/>
      <c r="C215" s="38"/>
      <c r="D215" s="38"/>
      <c r="E215" s="38"/>
      <c r="F215" s="39"/>
      <c r="G215" s="38"/>
      <c r="H215" s="38"/>
      <c r="I215" s="38"/>
      <c r="J215" s="38"/>
      <c r="K215" s="38"/>
      <c r="L215" s="38"/>
    </row>
    <row r="216" spans="1:12" ht="35.4" customHeight="1">
      <c r="A216" s="176" t="s">
        <v>3</v>
      </c>
      <c r="B216" s="177"/>
      <c r="C216" s="176" t="s">
        <v>499</v>
      </c>
      <c r="D216" s="178"/>
      <c r="E216" s="177"/>
      <c r="F216" s="146" t="s">
        <v>493</v>
      </c>
      <c r="G216" s="147" t="s">
        <v>500</v>
      </c>
      <c r="H216" s="145"/>
      <c r="I216" s="145"/>
      <c r="J216" s="145"/>
      <c r="K216" s="145"/>
      <c r="L216" s="145"/>
    </row>
    <row r="217" spans="1:12" ht="35.4" customHeight="1">
      <c r="A217" s="136" t="str" cm="1">
        <f t="array" ref="A217">_xlfn._xlws.FILTER(Actions[Famille Fidji ACT], ((Actions[Stade]="A investiguer") + (Actions[Stade]="Préconisé") + (Actions[Stade]="En cours")  + (Actions[Stade]="Validé")) * (Actions[A suivre avec le mainteneur]="Mainteneur") * (Actions[Quick win ou rénovation]="Quick win"), "Pas d'action mainteneur")</f>
        <v>Pas d'action mainteneur</v>
      </c>
      <c r="B217" s="137"/>
      <c r="C217" s="136" t="str" cm="1">
        <f t="array" ref="C217">_xlfn._xlws.FILTER(Actions[Libellé court Fidji ACT 
(choisir d''abord la famille)], ((Actions[Stade]="A investiguer") + (Actions[Stade]="Préconisé") + (Actions[Stade]="En cours") + (Actions[Stade]="Validé")) * (Actions[A suivre avec le mainteneur]="Mainteneur") * (Actions[Quick win ou rénovation]="Quick win"), "")</f>
        <v/>
      </c>
      <c r="D217" s="138"/>
      <c r="E217" s="137"/>
      <c r="F217" s="143" t="str" cm="1">
        <f t="array" ref="F217">_xlfn._xlws.FILTER(Actions[Stade], ((Actions[Stade]="A investiguer") + (Actions[Stade]="Préconisé") + + (Actions[Stade]="En cours")  + (Actions[Stade]="Validé")) * (Actions[A suivre avec le mainteneur]="Mainteneur") * (Actions[Quick win ou rénovation]="Quick win"), "")</f>
        <v/>
      </c>
      <c r="G217" s="136" t="str" cm="1">
        <f t="array" ref="G217">_xlfn._xlws.FILTER(Actions[Libellé de l’action
(à personnaliser)], ((Actions[Stade]="A investiguer") + (Actions[Stade]="Préconisé") + (Actions[Stade]="En cours") + (Actions[Stade]="Validé")) * (Actions[A suivre avec le mainteneur]="Mainteneur") * (Actions[Quick win ou rénovation]="Quick win"), "")</f>
        <v/>
      </c>
      <c r="H217" s="138"/>
      <c r="I217" s="138"/>
      <c r="J217" s="138"/>
      <c r="K217" s="138"/>
      <c r="L217" s="137"/>
    </row>
    <row r="218" spans="1:12" ht="35.4" customHeight="1">
      <c r="A218" s="136"/>
      <c r="B218" s="137"/>
      <c r="C218" s="136"/>
      <c r="D218" s="138"/>
      <c r="E218" s="137"/>
      <c r="F218" s="143"/>
      <c r="G218" s="136"/>
      <c r="H218" s="138"/>
      <c r="I218" s="138"/>
      <c r="J218" s="138"/>
      <c r="K218" s="138"/>
      <c r="L218" s="137"/>
    </row>
    <row r="219" spans="1:12" ht="35.4" customHeight="1">
      <c r="A219" s="136"/>
      <c r="B219" s="137"/>
      <c r="C219" s="136"/>
      <c r="D219" s="138"/>
      <c r="E219" s="137"/>
      <c r="F219" s="143"/>
      <c r="G219" s="136"/>
      <c r="H219" s="138"/>
      <c r="I219" s="138"/>
      <c r="J219" s="138"/>
      <c r="K219" s="138"/>
      <c r="L219" s="137"/>
    </row>
    <row r="220" spans="1:12" ht="35.4" customHeight="1">
      <c r="A220" s="136"/>
      <c r="B220" s="137"/>
      <c r="C220" s="136"/>
      <c r="D220" s="138"/>
      <c r="E220" s="137"/>
      <c r="F220" s="143"/>
      <c r="G220" s="136"/>
      <c r="H220" s="138"/>
      <c r="I220" s="138"/>
      <c r="J220" s="138"/>
      <c r="K220" s="138"/>
      <c r="L220" s="137"/>
    </row>
    <row r="221" spans="1:12" ht="35.4" customHeight="1">
      <c r="A221" s="136"/>
      <c r="B221" s="137"/>
      <c r="C221" s="136"/>
      <c r="D221" s="138"/>
      <c r="E221" s="137"/>
      <c r="F221" s="143"/>
      <c r="G221" s="136"/>
      <c r="H221" s="138"/>
      <c r="I221" s="138"/>
      <c r="J221" s="138"/>
      <c r="K221" s="138"/>
      <c r="L221" s="137"/>
    </row>
    <row r="222" spans="1:12" ht="35.4" customHeight="1">
      <c r="A222" s="136"/>
      <c r="B222" s="137"/>
      <c r="C222" s="136"/>
      <c r="D222" s="138"/>
      <c r="E222" s="137"/>
      <c r="F222" s="143"/>
      <c r="G222" s="136"/>
      <c r="H222" s="138"/>
      <c r="I222" s="138"/>
      <c r="J222" s="138"/>
      <c r="K222" s="138"/>
      <c r="L222" s="137"/>
    </row>
    <row r="223" spans="1:12" ht="35.4" customHeight="1">
      <c r="A223" s="136"/>
      <c r="B223" s="137"/>
      <c r="C223" s="136"/>
      <c r="D223" s="138"/>
      <c r="E223" s="137"/>
      <c r="F223" s="143"/>
      <c r="G223" s="136"/>
      <c r="H223" s="138"/>
      <c r="I223" s="138"/>
      <c r="J223" s="138"/>
      <c r="K223" s="138"/>
      <c r="L223" s="137"/>
    </row>
    <row r="224" spans="1:12" ht="35.4" customHeight="1">
      <c r="A224" s="136"/>
      <c r="B224" s="137"/>
      <c r="C224" s="136"/>
      <c r="D224" s="138"/>
      <c r="E224" s="137"/>
      <c r="F224" s="143"/>
      <c r="G224" s="136"/>
      <c r="H224" s="138"/>
      <c r="I224" s="138"/>
      <c r="J224" s="138"/>
      <c r="K224" s="138"/>
      <c r="L224" s="137"/>
    </row>
    <row r="225" spans="1:12" ht="35.4" customHeight="1">
      <c r="A225" s="136"/>
      <c r="B225" s="137"/>
      <c r="C225" s="136"/>
      <c r="D225" s="138"/>
      <c r="E225" s="137"/>
      <c r="F225" s="143"/>
      <c r="G225" s="136"/>
      <c r="H225" s="138"/>
      <c r="I225" s="138"/>
      <c r="J225" s="138"/>
      <c r="K225" s="138"/>
      <c r="L225" s="137"/>
    </row>
    <row r="226" spans="1:12" ht="35.4" customHeight="1">
      <c r="A226" s="136"/>
      <c r="B226" s="137"/>
      <c r="C226" s="136"/>
      <c r="D226" s="138"/>
      <c r="E226" s="137"/>
      <c r="F226" s="143"/>
      <c r="G226" s="136"/>
      <c r="H226" s="138"/>
      <c r="I226" s="138"/>
      <c r="J226" s="138"/>
      <c r="K226" s="138"/>
      <c r="L226" s="137"/>
    </row>
    <row r="227" spans="1:12" ht="35.4" customHeight="1">
      <c r="A227" s="136"/>
      <c r="B227" s="137"/>
      <c r="C227" s="136"/>
      <c r="D227" s="138"/>
      <c r="E227" s="137"/>
      <c r="F227" s="143"/>
      <c r="G227" s="136"/>
      <c r="H227" s="138"/>
      <c r="I227" s="138"/>
      <c r="J227" s="138"/>
      <c r="K227" s="138"/>
      <c r="L227" s="137"/>
    </row>
    <row r="228" spans="1:12" ht="35.4" customHeight="1">
      <c r="A228" s="136"/>
      <c r="B228" s="137"/>
      <c r="C228" s="136"/>
      <c r="D228" s="138"/>
      <c r="E228" s="137"/>
      <c r="F228" s="143"/>
      <c r="G228" s="136"/>
      <c r="H228" s="138"/>
      <c r="I228" s="138"/>
      <c r="J228" s="138"/>
      <c r="K228" s="138"/>
      <c r="L228" s="137"/>
    </row>
    <row r="229" spans="1:12" ht="35.4" customHeight="1">
      <c r="A229" s="136"/>
      <c r="B229" s="137"/>
      <c r="C229" s="136"/>
      <c r="D229" s="138"/>
      <c r="E229" s="137"/>
      <c r="F229" s="143"/>
      <c r="G229" s="136"/>
      <c r="H229" s="138"/>
      <c r="I229" s="138"/>
      <c r="J229" s="138"/>
      <c r="K229" s="138"/>
      <c r="L229" s="137"/>
    </row>
    <row r="230" spans="1:12" ht="35.4" customHeight="1">
      <c r="A230" s="136"/>
      <c r="B230" s="137"/>
      <c r="C230" s="136"/>
      <c r="D230" s="138"/>
      <c r="E230" s="137"/>
      <c r="F230" s="143"/>
      <c r="G230" s="136"/>
      <c r="H230" s="138"/>
      <c r="I230" s="138"/>
      <c r="J230" s="138"/>
      <c r="K230" s="138"/>
      <c r="L230" s="137"/>
    </row>
    <row r="231" spans="1:12" ht="35.4" customHeight="1">
      <c r="A231" s="136"/>
      <c r="B231" s="137"/>
      <c r="C231" s="136"/>
      <c r="D231" s="138"/>
      <c r="E231" s="137"/>
      <c r="F231" s="143"/>
      <c r="G231" s="136"/>
      <c r="H231" s="138"/>
      <c r="I231" s="138"/>
      <c r="J231" s="138"/>
      <c r="K231" s="138"/>
      <c r="L231" s="137"/>
    </row>
    <row r="232" spans="1:12" ht="35.4" customHeight="1">
      <c r="A232" s="136"/>
      <c r="B232" s="137"/>
      <c r="C232" s="136"/>
      <c r="D232" s="138"/>
      <c r="E232" s="137"/>
      <c r="F232" s="143"/>
      <c r="G232" s="136"/>
      <c r="H232" s="138"/>
      <c r="I232" s="138"/>
      <c r="J232" s="138"/>
      <c r="K232" s="138"/>
      <c r="L232" s="137"/>
    </row>
    <row r="233" spans="1:12" ht="35.4" customHeight="1">
      <c r="A233" s="136"/>
      <c r="B233" s="137"/>
      <c r="C233" s="136"/>
      <c r="D233" s="138"/>
      <c r="E233" s="137"/>
      <c r="F233" s="143"/>
      <c r="G233" s="136"/>
      <c r="H233" s="138"/>
      <c r="I233" s="138"/>
      <c r="J233" s="138"/>
      <c r="K233" s="138"/>
      <c r="L233" s="137"/>
    </row>
    <row r="234" spans="1:12" ht="35.4" customHeight="1">
      <c r="A234" s="136"/>
      <c r="B234" s="137"/>
      <c r="C234" s="136"/>
      <c r="D234" s="138"/>
      <c r="E234" s="137"/>
      <c r="F234" s="143"/>
      <c r="G234" s="136"/>
      <c r="H234" s="138"/>
      <c r="I234" s="138"/>
      <c r="J234" s="138"/>
      <c r="K234" s="138"/>
      <c r="L234" s="137"/>
    </row>
    <row r="235" spans="1:12" ht="35.4" customHeight="1">
      <c r="A235" s="136"/>
      <c r="B235" s="137"/>
      <c r="C235" s="136"/>
      <c r="D235" s="138"/>
      <c r="E235" s="137"/>
      <c r="F235" s="143"/>
      <c r="G235" s="136"/>
      <c r="H235" s="138"/>
      <c r="I235" s="138"/>
      <c r="J235" s="138"/>
      <c r="K235" s="138"/>
      <c r="L235" s="137"/>
    </row>
    <row r="236" spans="1:12" ht="35.4" customHeight="1">
      <c r="A236" s="136"/>
      <c r="B236" s="137"/>
      <c r="C236" s="136"/>
      <c r="D236" s="138"/>
      <c r="E236" s="137"/>
      <c r="F236" s="143"/>
      <c r="G236" s="136"/>
      <c r="H236" s="138"/>
      <c r="I236" s="138"/>
      <c r="J236" s="138"/>
      <c r="K236" s="138"/>
      <c r="L236" s="137"/>
    </row>
    <row r="237" spans="1:12" ht="35.4" customHeight="1">
      <c r="A237" s="136"/>
      <c r="B237" s="137"/>
      <c r="C237" s="136"/>
      <c r="D237" s="138"/>
      <c r="E237" s="137"/>
      <c r="F237" s="143"/>
      <c r="G237" s="136"/>
      <c r="H237" s="138"/>
      <c r="I237" s="138"/>
      <c r="J237" s="138"/>
      <c r="K237" s="138"/>
      <c r="L237" s="137"/>
    </row>
    <row r="238" spans="1:12" ht="35.4" customHeight="1">
      <c r="A238" s="136"/>
      <c r="B238" s="137"/>
      <c r="C238" s="136"/>
      <c r="D238" s="138"/>
      <c r="E238" s="137"/>
      <c r="F238" s="143"/>
      <c r="G238" s="136"/>
      <c r="H238" s="138"/>
      <c r="I238" s="138"/>
      <c r="J238" s="138"/>
      <c r="K238" s="138"/>
      <c r="L238" s="137"/>
    </row>
    <row r="239" spans="1:12" ht="35.4" customHeight="1">
      <c r="A239" s="136"/>
      <c r="B239" s="137"/>
      <c r="C239" s="136"/>
      <c r="D239" s="138"/>
      <c r="E239" s="137"/>
      <c r="F239" s="143"/>
      <c r="G239" s="136"/>
      <c r="H239" s="138"/>
      <c r="I239" s="138"/>
      <c r="J239" s="138"/>
      <c r="K239" s="138"/>
      <c r="L239" s="137"/>
    </row>
    <row r="240" spans="1:12" ht="35.4" customHeight="1">
      <c r="A240" s="136"/>
      <c r="B240" s="137"/>
      <c r="C240" s="136"/>
      <c r="D240" s="138"/>
      <c r="E240" s="137"/>
      <c r="F240" s="143"/>
      <c r="G240" s="136"/>
      <c r="H240" s="138"/>
      <c r="I240" s="138"/>
      <c r="J240" s="138"/>
      <c r="K240" s="138"/>
      <c r="L240" s="137"/>
    </row>
    <row r="241" spans="1:12" ht="35.4" customHeight="1">
      <c r="A241" s="136"/>
      <c r="B241" s="137"/>
      <c r="C241" s="136"/>
      <c r="D241" s="138"/>
      <c r="E241" s="137"/>
      <c r="F241" s="143"/>
      <c r="G241" s="136"/>
      <c r="H241" s="138"/>
      <c r="I241" s="138"/>
      <c r="J241" s="138"/>
      <c r="K241" s="138"/>
      <c r="L241" s="137"/>
    </row>
    <row r="242" spans="1:12" ht="35.4" customHeight="1">
      <c r="A242" s="136"/>
      <c r="B242" s="137"/>
      <c r="C242" s="136"/>
      <c r="D242" s="138"/>
      <c r="E242" s="137"/>
      <c r="F242" s="143"/>
      <c r="G242" s="136"/>
      <c r="H242" s="138"/>
      <c r="I242" s="138"/>
      <c r="J242" s="138"/>
      <c r="K242" s="138"/>
      <c r="L242" s="137"/>
    </row>
    <row r="243" spans="1:12" ht="35.4" customHeight="1">
      <c r="A243" s="136"/>
      <c r="B243" s="137"/>
      <c r="C243" s="136"/>
      <c r="D243" s="138"/>
      <c r="E243" s="137"/>
      <c r="F243" s="143"/>
      <c r="G243" s="136"/>
      <c r="H243" s="138"/>
      <c r="I243" s="138"/>
      <c r="J243" s="138"/>
      <c r="K243" s="138"/>
      <c r="L243" s="137"/>
    </row>
    <row r="244" spans="1:12" ht="35.4" customHeight="1">
      <c r="A244" s="136"/>
      <c r="B244" s="137"/>
      <c r="C244" s="136"/>
      <c r="D244" s="138"/>
      <c r="E244" s="137"/>
      <c r="F244" s="143"/>
      <c r="G244" s="136"/>
      <c r="H244" s="138"/>
      <c r="I244" s="138"/>
      <c r="J244" s="138"/>
      <c r="K244" s="138"/>
      <c r="L244" s="137"/>
    </row>
    <row r="245" spans="1:12" ht="35.4" customHeight="1">
      <c r="A245" s="136"/>
      <c r="B245" s="137"/>
      <c r="C245" s="136"/>
      <c r="D245" s="138"/>
      <c r="E245" s="137"/>
      <c r="F245" s="143"/>
      <c r="G245" s="136"/>
      <c r="H245" s="138"/>
      <c r="I245" s="138"/>
      <c r="J245" s="138"/>
      <c r="K245" s="138"/>
      <c r="L245" s="137"/>
    </row>
    <row r="246" spans="1:12" ht="35.4" customHeight="1">
      <c r="A246" s="136"/>
      <c r="B246" s="137"/>
      <c r="C246" s="136"/>
      <c r="D246" s="138"/>
      <c r="E246" s="137"/>
      <c r="F246" s="143"/>
      <c r="G246" s="136"/>
      <c r="H246" s="138"/>
      <c r="I246" s="138"/>
      <c r="J246" s="138"/>
      <c r="K246" s="138"/>
      <c r="L246" s="137"/>
    </row>
    <row r="247" spans="1:12" ht="36.6" customHeight="1">
      <c r="A247" s="149"/>
      <c r="B247" s="149"/>
      <c r="C247" s="149"/>
      <c r="D247" s="149"/>
      <c r="E247" s="149"/>
      <c r="F247" s="95"/>
      <c r="G247" s="149"/>
      <c r="H247" s="149"/>
      <c r="I247" s="149"/>
      <c r="J247" s="149"/>
      <c r="K247" s="149"/>
      <c r="L247" s="149"/>
    </row>
    <row r="248" spans="1:12" ht="36.6" customHeight="1">
      <c r="A248" s="149"/>
      <c r="B248" s="149"/>
      <c r="C248" s="149"/>
      <c r="D248" s="149"/>
      <c r="E248" s="149"/>
      <c r="F248" s="95"/>
      <c r="G248" s="149"/>
      <c r="H248" s="149"/>
      <c r="I248" s="149"/>
      <c r="J248" s="149"/>
      <c r="K248" s="149"/>
      <c r="L248" s="149"/>
    </row>
    <row r="249" spans="1:12" ht="36.6" customHeight="1"/>
    <row r="250" spans="1:12" s="108" customFormat="1" ht="226.8" customHeight="1">
      <c r="A250" s="179" t="s">
        <v>578</v>
      </c>
      <c r="B250" s="180"/>
      <c r="C250" s="180"/>
      <c r="D250" s="180"/>
      <c r="E250" s="180"/>
      <c r="F250" s="180"/>
      <c r="G250" s="180"/>
      <c r="H250" s="180"/>
      <c r="I250" s="110"/>
      <c r="J250" s="110"/>
      <c r="K250" s="110"/>
      <c r="L250" s="110"/>
    </row>
    <row r="251" spans="1:12" ht="55.2" customHeight="1">
      <c r="A251" s="41" t="s">
        <v>568</v>
      </c>
      <c r="B251" s="40"/>
      <c r="C251" s="38"/>
      <c r="D251" s="38"/>
      <c r="E251" s="38"/>
      <c r="F251" s="39"/>
      <c r="G251" s="38"/>
      <c r="H251" s="38"/>
      <c r="I251" s="38"/>
      <c r="J251" s="38"/>
      <c r="K251" s="38"/>
      <c r="L251" s="38"/>
    </row>
    <row r="252" spans="1:12" ht="34.200000000000003" customHeight="1">
      <c r="A252" s="181" t="s">
        <v>3</v>
      </c>
      <c r="B252" s="182"/>
      <c r="C252" s="181" t="s">
        <v>499</v>
      </c>
      <c r="D252" s="183"/>
      <c r="E252" s="182"/>
      <c r="F252" s="142" t="s">
        <v>493</v>
      </c>
      <c r="G252" s="144" t="s">
        <v>500</v>
      </c>
      <c r="H252" s="141"/>
      <c r="I252" s="141"/>
      <c r="J252" s="141"/>
      <c r="K252" s="141"/>
      <c r="L252" s="141"/>
    </row>
    <row r="253" spans="1:12" ht="36.6" customHeight="1">
      <c r="A253" s="136" t="str" cm="1">
        <f t="array" ref="A253">_xlfn._xlws.FILTER(Actions[Famille Fidji ACT], ((Actions[Stade]="A investiguer") + (Actions[Stade]="Préconisé")) * (Actions[A suivre avec le propriétaire]="Propriétaire"), "0 action à suivre en comité vert")</f>
        <v>0 action à suivre en comité vert</v>
      </c>
      <c r="B253" s="137"/>
      <c r="C253" s="136" t="str" cm="1">
        <f t="array" ref="C253">_xlfn._xlws.FILTER(Actions[Libellé court Fidji ACT 
(choisir d''abord la famille)], ((Actions[Stade]="A investiguer") + (Actions[Stade]="Préconisé")) * (Actions[A suivre avec le propriétaire]="Propriétaire"), "")</f>
        <v/>
      </c>
      <c r="D253" s="138"/>
      <c r="E253" s="137"/>
      <c r="F253" s="143" t="str" cm="1">
        <f t="array" ref="F253">_xlfn._xlws.FILTER(Actions[Stade], ((Actions[Stade]="A investiguer") + (Actions[Stade]="Préconisé")) * (Actions[A suivre avec le propriétaire]="Propriétaire"), "")</f>
        <v/>
      </c>
      <c r="G253" s="136" t="str" cm="1">
        <f t="array" ref="G253">_xlfn._xlws.FILTER(Actions[Libellé de l’action
(à personnaliser)], ((Actions[Stade]="A investiguer") + (Actions[Stade]="Préconisé")) * (Actions[A suivre avec le propriétaire]="Propriétaire"), "")</f>
        <v/>
      </c>
      <c r="H253" s="138"/>
      <c r="I253" s="138"/>
      <c r="J253" s="138"/>
      <c r="K253" s="138"/>
      <c r="L253" s="137"/>
    </row>
    <row r="254" spans="1:12" ht="36.6" customHeight="1">
      <c r="A254" s="136"/>
      <c r="B254" s="137"/>
      <c r="C254" s="136"/>
      <c r="D254" s="138"/>
      <c r="E254" s="137"/>
      <c r="F254" s="143"/>
      <c r="G254" s="136"/>
      <c r="H254" s="138"/>
      <c r="I254" s="138"/>
      <c r="J254" s="138"/>
      <c r="K254" s="138"/>
      <c r="L254" s="137"/>
    </row>
    <row r="255" spans="1:12" ht="36.6" customHeight="1">
      <c r="A255" s="136"/>
      <c r="B255" s="137"/>
      <c r="C255" s="136"/>
      <c r="D255" s="138"/>
      <c r="E255" s="137"/>
      <c r="F255" s="143"/>
      <c r="G255" s="136"/>
      <c r="H255" s="138"/>
      <c r="I255" s="138"/>
      <c r="J255" s="138"/>
      <c r="K255" s="138"/>
      <c r="L255" s="137"/>
    </row>
    <row r="256" spans="1:12" ht="36.6" customHeight="1">
      <c r="A256" s="136"/>
      <c r="B256" s="137"/>
      <c r="C256" s="136"/>
      <c r="D256" s="138"/>
      <c r="E256" s="137"/>
      <c r="F256" s="143"/>
      <c r="G256" s="136"/>
      <c r="H256" s="138"/>
      <c r="I256" s="138"/>
      <c r="J256" s="138"/>
      <c r="K256" s="138"/>
      <c r="L256" s="137"/>
    </row>
    <row r="257" spans="1:12" ht="36.6" customHeight="1">
      <c r="A257" s="136"/>
      <c r="B257" s="137"/>
      <c r="C257" s="136"/>
      <c r="D257" s="138"/>
      <c r="E257" s="137"/>
      <c r="F257" s="143"/>
      <c r="G257" s="136"/>
      <c r="H257" s="138"/>
      <c r="I257" s="138"/>
      <c r="J257" s="138"/>
      <c r="K257" s="138"/>
      <c r="L257" s="137"/>
    </row>
    <row r="258" spans="1:12" ht="36.6" customHeight="1">
      <c r="A258" s="136"/>
      <c r="B258" s="137"/>
      <c r="C258" s="136"/>
      <c r="D258" s="138"/>
      <c r="E258" s="137"/>
      <c r="F258" s="143"/>
      <c r="G258" s="136"/>
      <c r="H258" s="138"/>
      <c r="I258" s="138"/>
      <c r="J258" s="138"/>
      <c r="K258" s="138"/>
      <c r="L258" s="137"/>
    </row>
    <row r="259" spans="1:12" ht="36.6" customHeight="1">
      <c r="A259" s="136"/>
      <c r="B259" s="137"/>
      <c r="C259" s="136"/>
      <c r="D259" s="138"/>
      <c r="E259" s="137"/>
      <c r="F259" s="143"/>
      <c r="G259" s="136"/>
      <c r="H259" s="138"/>
      <c r="I259" s="138"/>
      <c r="J259" s="138"/>
      <c r="K259" s="138"/>
      <c r="L259" s="137"/>
    </row>
    <row r="260" spans="1:12" ht="36.6" customHeight="1">
      <c r="A260" s="136"/>
      <c r="B260" s="137"/>
      <c r="C260" s="136"/>
      <c r="D260" s="138"/>
      <c r="E260" s="137"/>
      <c r="F260" s="143"/>
      <c r="G260" s="136"/>
      <c r="H260" s="138"/>
      <c r="I260" s="138"/>
      <c r="J260" s="138"/>
      <c r="K260" s="138"/>
      <c r="L260" s="137"/>
    </row>
    <row r="261" spans="1:12" ht="36.6" customHeight="1">
      <c r="A261" s="136"/>
      <c r="B261" s="137"/>
      <c r="C261" s="136"/>
      <c r="D261" s="138"/>
      <c r="E261" s="137"/>
      <c r="F261" s="143"/>
      <c r="G261" s="136"/>
      <c r="H261" s="138"/>
      <c r="I261" s="138"/>
      <c r="J261" s="138"/>
      <c r="K261" s="138"/>
      <c r="L261" s="137"/>
    </row>
    <row r="262" spans="1:12" ht="36.6" customHeight="1">
      <c r="A262" s="136"/>
      <c r="B262" s="137"/>
      <c r="C262" s="136"/>
      <c r="D262" s="138"/>
      <c r="E262" s="137"/>
      <c r="F262" s="143"/>
      <c r="G262" s="136"/>
      <c r="H262" s="138"/>
      <c r="I262" s="138"/>
      <c r="J262" s="138"/>
      <c r="K262" s="138"/>
      <c r="L262" s="137"/>
    </row>
    <row r="263" spans="1:12" ht="36.6" customHeight="1">
      <c r="A263" s="136"/>
      <c r="B263" s="137"/>
      <c r="C263" s="136"/>
      <c r="D263" s="138"/>
      <c r="E263" s="137"/>
      <c r="F263" s="143"/>
      <c r="G263" s="136"/>
      <c r="H263" s="138"/>
      <c r="I263" s="138"/>
      <c r="J263" s="138"/>
      <c r="K263" s="138"/>
      <c r="L263" s="137"/>
    </row>
    <row r="264" spans="1:12" ht="36.6" customHeight="1">
      <c r="A264" s="136"/>
      <c r="B264" s="137"/>
      <c r="C264" s="136"/>
      <c r="D264" s="138"/>
      <c r="E264" s="137"/>
      <c r="F264" s="143"/>
      <c r="G264" s="136"/>
      <c r="H264" s="138"/>
      <c r="I264" s="138"/>
      <c r="J264" s="138"/>
      <c r="K264" s="138"/>
      <c r="L264" s="137"/>
    </row>
    <row r="265" spans="1:12" ht="36.6" customHeight="1">
      <c r="A265" s="136"/>
      <c r="B265" s="137"/>
      <c r="C265" s="136"/>
      <c r="D265" s="138"/>
      <c r="E265" s="137"/>
      <c r="F265" s="143"/>
      <c r="G265" s="136"/>
      <c r="H265" s="138"/>
      <c r="I265" s="138"/>
      <c r="J265" s="138"/>
      <c r="K265" s="138"/>
      <c r="L265" s="137"/>
    </row>
    <row r="266" spans="1:12" ht="36.6" customHeight="1">
      <c r="A266" s="136"/>
      <c r="B266" s="137"/>
      <c r="C266" s="136"/>
      <c r="D266" s="138"/>
      <c r="E266" s="137"/>
      <c r="F266" s="143"/>
      <c r="G266" s="136"/>
      <c r="H266" s="138"/>
      <c r="I266" s="138"/>
      <c r="J266" s="138"/>
      <c r="K266" s="138"/>
      <c r="L266" s="137"/>
    </row>
    <row r="267" spans="1:12" ht="36.6" customHeight="1">
      <c r="A267" s="136"/>
      <c r="B267" s="137"/>
      <c r="C267" s="136"/>
      <c r="D267" s="138"/>
      <c r="E267" s="137"/>
      <c r="F267" s="143"/>
      <c r="G267" s="136"/>
      <c r="H267" s="138"/>
      <c r="I267" s="138"/>
      <c r="J267" s="138"/>
      <c r="K267" s="138"/>
      <c r="L267" s="137"/>
    </row>
    <row r="268" spans="1:12" ht="36.6" customHeight="1">
      <c r="A268" s="136"/>
      <c r="B268" s="137"/>
      <c r="C268" s="136"/>
      <c r="D268" s="138"/>
      <c r="E268" s="137"/>
      <c r="F268" s="143"/>
      <c r="G268" s="136"/>
      <c r="H268" s="138"/>
      <c r="I268" s="138"/>
      <c r="J268" s="138"/>
      <c r="K268" s="138"/>
      <c r="L268" s="137"/>
    </row>
    <row r="269" spans="1:12" ht="36.6" customHeight="1">
      <c r="A269" s="136"/>
      <c r="B269" s="137"/>
      <c r="C269" s="136"/>
      <c r="D269" s="138"/>
      <c r="E269" s="137"/>
      <c r="F269" s="143"/>
      <c r="G269" s="136"/>
      <c r="H269" s="138"/>
      <c r="I269" s="138"/>
      <c r="J269" s="138"/>
      <c r="K269" s="138"/>
      <c r="L269" s="137"/>
    </row>
    <row r="270" spans="1:12" ht="36.6" customHeight="1">
      <c r="A270" s="136"/>
      <c r="B270" s="137"/>
      <c r="C270" s="136"/>
      <c r="D270" s="138"/>
      <c r="E270" s="137"/>
      <c r="F270" s="143"/>
      <c r="G270" s="136"/>
      <c r="H270" s="138"/>
      <c r="I270" s="138"/>
      <c r="J270" s="138"/>
      <c r="K270" s="138"/>
      <c r="L270" s="137"/>
    </row>
    <row r="271" spans="1:12" ht="36.6" customHeight="1">
      <c r="A271" s="136"/>
      <c r="B271" s="137"/>
      <c r="C271" s="136"/>
      <c r="D271" s="138"/>
      <c r="E271" s="137"/>
      <c r="F271" s="143"/>
      <c r="G271" s="136"/>
      <c r="H271" s="138"/>
      <c r="I271" s="138"/>
      <c r="J271" s="138"/>
      <c r="K271" s="138"/>
      <c r="L271" s="137"/>
    </row>
    <row r="272" spans="1:12" ht="36.6" customHeight="1">
      <c r="A272" s="136"/>
      <c r="B272" s="137"/>
      <c r="C272" s="136"/>
      <c r="D272" s="138"/>
      <c r="E272" s="137"/>
      <c r="F272" s="143"/>
      <c r="G272" s="136"/>
      <c r="H272" s="138"/>
      <c r="I272" s="138"/>
      <c r="J272" s="138"/>
      <c r="K272" s="138"/>
      <c r="L272" s="137"/>
    </row>
    <row r="273" spans="1:12" ht="36.6" customHeight="1">
      <c r="A273" s="136"/>
      <c r="B273" s="137"/>
      <c r="C273" s="136"/>
      <c r="D273" s="138"/>
      <c r="E273" s="137"/>
      <c r="F273" s="143"/>
      <c r="G273" s="136"/>
      <c r="H273" s="138"/>
      <c r="I273" s="138"/>
      <c r="J273" s="138"/>
      <c r="K273" s="138"/>
      <c r="L273" s="137"/>
    </row>
    <row r="274" spans="1:12" ht="36.6" customHeight="1">
      <c r="A274" s="136"/>
      <c r="B274" s="137"/>
      <c r="C274" s="136"/>
      <c r="D274" s="138"/>
      <c r="E274" s="137"/>
      <c r="F274" s="143"/>
      <c r="G274" s="136"/>
      <c r="H274" s="138"/>
      <c r="I274" s="138"/>
      <c r="J274" s="138"/>
      <c r="K274" s="138"/>
      <c r="L274" s="137"/>
    </row>
    <row r="275" spans="1:12" ht="36.6" customHeight="1">
      <c r="A275" s="136"/>
      <c r="B275" s="137"/>
      <c r="C275" s="136"/>
      <c r="D275" s="138"/>
      <c r="E275" s="137"/>
      <c r="F275" s="143"/>
      <c r="G275" s="136"/>
      <c r="H275" s="138"/>
      <c r="I275" s="138"/>
      <c r="J275" s="138"/>
      <c r="K275" s="138"/>
      <c r="L275" s="137"/>
    </row>
    <row r="276" spans="1:12" ht="36.6" customHeight="1">
      <c r="A276" s="136"/>
      <c r="B276" s="137"/>
      <c r="C276" s="136"/>
      <c r="D276" s="138"/>
      <c r="E276" s="137"/>
      <c r="F276" s="143"/>
      <c r="G276" s="136"/>
      <c r="H276" s="138"/>
      <c r="I276" s="138"/>
      <c r="J276" s="138"/>
      <c r="K276" s="138"/>
      <c r="L276" s="137"/>
    </row>
    <row r="277" spans="1:12" ht="36.6" customHeight="1">
      <c r="A277" s="136"/>
      <c r="B277" s="137"/>
      <c r="C277" s="136"/>
      <c r="D277" s="138"/>
      <c r="E277" s="137"/>
      <c r="F277" s="143"/>
      <c r="G277" s="136"/>
      <c r="H277" s="138"/>
      <c r="I277" s="138"/>
      <c r="J277" s="138"/>
      <c r="K277" s="138"/>
      <c r="L277" s="137"/>
    </row>
    <row r="278" spans="1:12" ht="36.6" customHeight="1">
      <c r="A278" s="136"/>
      <c r="B278" s="137"/>
      <c r="C278" s="136"/>
      <c r="D278" s="138"/>
      <c r="E278" s="137"/>
      <c r="F278" s="143"/>
      <c r="G278" s="136"/>
      <c r="H278" s="138"/>
      <c r="I278" s="138"/>
      <c r="J278" s="138"/>
      <c r="K278" s="138"/>
      <c r="L278" s="137"/>
    </row>
    <row r="279" spans="1:12" ht="36.6" customHeight="1">
      <c r="A279" s="136"/>
      <c r="B279" s="137"/>
      <c r="C279" s="136"/>
      <c r="D279" s="138"/>
      <c r="E279" s="137"/>
      <c r="F279" s="143"/>
      <c r="G279" s="136"/>
      <c r="H279" s="138"/>
      <c r="I279" s="138"/>
      <c r="J279" s="138"/>
      <c r="K279" s="138"/>
      <c r="L279" s="137"/>
    </row>
    <row r="280" spans="1:12" ht="36.6" customHeight="1">
      <c r="A280" s="136"/>
      <c r="B280" s="137"/>
      <c r="C280" s="136"/>
      <c r="D280" s="138"/>
      <c r="E280" s="137"/>
      <c r="F280" s="143"/>
      <c r="G280" s="136"/>
      <c r="H280" s="138"/>
      <c r="I280" s="138"/>
      <c r="J280" s="138"/>
      <c r="K280" s="138"/>
      <c r="L280" s="137"/>
    </row>
    <row r="281" spans="1:12" ht="36.6" customHeight="1">
      <c r="A281" s="136"/>
      <c r="B281" s="137"/>
      <c r="C281" s="136"/>
      <c r="D281" s="138"/>
      <c r="E281" s="137"/>
      <c r="F281" s="143"/>
      <c r="G281" s="136"/>
      <c r="H281" s="138"/>
      <c r="I281" s="138"/>
      <c r="J281" s="138"/>
      <c r="K281" s="138"/>
      <c r="L281" s="137"/>
    </row>
    <row r="282" spans="1:12" ht="124.2" customHeight="1">
      <c r="A282" s="116"/>
      <c r="B282" s="116"/>
      <c r="C282" s="116"/>
      <c r="D282" s="116"/>
      <c r="E282" s="116"/>
      <c r="F282" s="117"/>
      <c r="G282" s="116"/>
      <c r="H282" s="116"/>
      <c r="I282" s="116"/>
      <c r="J282" s="116"/>
      <c r="K282" s="116"/>
      <c r="L282" s="116"/>
    </row>
    <row r="283" spans="1:12" ht="247.8" customHeight="1">
      <c r="A283" s="171" t="s">
        <v>569</v>
      </c>
      <c r="B283" s="172"/>
      <c r="C283" s="172"/>
      <c r="D283" s="172"/>
      <c r="E283" s="172"/>
      <c r="F283" s="172"/>
      <c r="G283" s="172"/>
      <c r="H283" s="172"/>
      <c r="I283" s="172"/>
      <c r="J283" s="118"/>
      <c r="K283" s="118"/>
      <c r="L283" s="118"/>
    </row>
    <row r="284" spans="1:12" ht="57.6" customHeight="1">
      <c r="A284" s="109" t="s">
        <v>567</v>
      </c>
      <c r="B284" s="40"/>
      <c r="C284" s="38"/>
      <c r="D284" s="38"/>
      <c r="E284" s="38"/>
      <c r="F284" s="39"/>
      <c r="G284" s="38"/>
      <c r="H284" s="38"/>
      <c r="I284" s="38"/>
      <c r="J284" s="38"/>
      <c r="K284" s="38"/>
      <c r="L284" s="38"/>
    </row>
    <row r="285" spans="1:12" ht="36.6" customHeight="1">
      <c r="A285" s="173" t="s">
        <v>3</v>
      </c>
      <c r="B285" s="174"/>
      <c r="C285" s="173" t="s">
        <v>499</v>
      </c>
      <c r="D285" s="175"/>
      <c r="E285" s="174"/>
      <c r="F285" s="135" t="s">
        <v>550</v>
      </c>
      <c r="G285" s="140" t="s">
        <v>500</v>
      </c>
      <c r="H285" s="134"/>
      <c r="I285" s="134"/>
      <c r="J285" s="134"/>
      <c r="K285" s="134"/>
      <c r="L285" s="134"/>
    </row>
    <row r="286" spans="1:12" ht="36.6" customHeight="1">
      <c r="A286" s="136" t="str" cm="1">
        <f t="array" ref="A286">_xlfn._xlws.FILTER(Actions[Famille Fidji ACT], ((Actions[Stade]="Préconisé")) * ((Actions[Taxonomie 
Classe d''activité dont relèvent les dépenses]="7.3") + (Actions[Taxonomie 
Classe d''activité dont relèvent les dépenses]="7.4") +  + (Actions[Taxonomie 
Classe d''activité dont relèvent les dépenses]="7.5") + (Actions[Taxonomie 
Classe d''activité dont relèvent les dépenses]="7.6")), "0 k€ alignés taxo.")</f>
        <v>0 k€ alignés taxo.</v>
      </c>
      <c r="B286" s="137"/>
      <c r="C286" s="136" t="str" cm="1">
        <f t="array" ref="C286">_xlfn._xlws.FILTER(Actions[Libellé court Fidji ACT 
(choisir d''abord la famille)], ((Actions[Stade]="Préconisé")) * ((Actions[Taxonomie 
Classe d''activité dont relèvent les dépenses]="7.3") + (Actions[Taxonomie 
Classe d''activité dont relèvent les dépenses]="7.4") +  + (Actions[Taxonomie 
Classe d''activité dont relèvent les dépenses]="7.5") + (Actions[Taxonomie 
Classe d''activité dont relèvent les dépenses]="7.6")), "")</f>
        <v/>
      </c>
      <c r="D286" s="138"/>
      <c r="E286" s="137"/>
      <c r="F286" s="139" t="str" cm="1">
        <f t="array" ref="F286">_xlfn._xlws.FILTER(Actions[Budget en k€], ((Actions[Stade]="Préconisé")) * ((Actions[Taxonomie 
Classe d''activité dont relèvent les dépenses]="7.3") + (Actions[Taxonomie 
Classe d''activité dont relèvent les dépenses]="7.4") + (Actions[Taxonomie 
Classe d''activité dont relèvent les dépenses]="7.5") + (Actions[Taxonomie 
Classe d''activité dont relèvent les dépenses]="7.6")), "")</f>
        <v/>
      </c>
      <c r="G286" s="136" t="str" cm="1">
        <f t="array" ref="G286">_xlfn._xlws.FILTER(Actions[Libellé de l’action
(à personnaliser)], ((Actions[Stade]="Préconisé")) * ((Actions[Taxonomie 
Classe d''activité dont relèvent les dépenses]="7.3") + (Actions[Taxonomie 
Classe d''activité dont relèvent les dépenses]="7.4") + (Actions[Taxonomie 
Classe d''activité dont relèvent les dépenses]="7.5") + (Actions[Taxonomie 
Classe d''activité dont relèvent les dépenses]="7.6")), "")</f>
        <v/>
      </c>
      <c r="H286" s="138"/>
      <c r="I286" s="138"/>
      <c r="J286" s="138"/>
      <c r="K286" s="138"/>
      <c r="L286" s="137"/>
    </row>
    <row r="287" spans="1:12" ht="36.6" customHeight="1">
      <c r="A287" s="136"/>
      <c r="B287" s="137"/>
      <c r="C287" s="136"/>
      <c r="D287" s="138"/>
      <c r="E287" s="137"/>
      <c r="F287" s="139"/>
      <c r="G287" s="136"/>
      <c r="H287" s="138"/>
      <c r="I287" s="138"/>
      <c r="J287" s="138"/>
      <c r="K287" s="138"/>
      <c r="L287" s="137"/>
    </row>
    <row r="288" spans="1:12" ht="36.6" customHeight="1">
      <c r="A288" s="136"/>
      <c r="B288" s="137"/>
      <c r="C288" s="136"/>
      <c r="D288" s="138"/>
      <c r="E288" s="137"/>
      <c r="F288" s="139"/>
      <c r="G288" s="136"/>
      <c r="H288" s="138"/>
      <c r="I288" s="138"/>
      <c r="J288" s="138"/>
      <c r="K288" s="138"/>
      <c r="L288" s="137"/>
    </row>
    <row r="289" spans="1:12" ht="36.6" customHeight="1">
      <c r="A289" s="136"/>
      <c r="B289" s="137"/>
      <c r="C289" s="136"/>
      <c r="D289" s="138"/>
      <c r="E289" s="137"/>
      <c r="F289" s="139"/>
      <c r="G289" s="136"/>
      <c r="H289" s="138"/>
      <c r="I289" s="138"/>
      <c r="J289" s="138"/>
      <c r="K289" s="138"/>
      <c r="L289" s="137"/>
    </row>
    <row r="290" spans="1:12" ht="36.6" customHeight="1">
      <c r="A290" s="136"/>
      <c r="B290" s="137"/>
      <c r="C290" s="136"/>
      <c r="D290" s="138"/>
      <c r="E290" s="137"/>
      <c r="F290" s="139"/>
      <c r="G290" s="136"/>
      <c r="H290" s="138"/>
      <c r="I290" s="138"/>
      <c r="J290" s="138"/>
      <c r="K290" s="138"/>
      <c r="L290" s="137"/>
    </row>
    <row r="291" spans="1:12" ht="36.6" customHeight="1">
      <c r="A291" s="136"/>
      <c r="B291" s="137"/>
      <c r="C291" s="136"/>
      <c r="D291" s="138"/>
      <c r="E291" s="137"/>
      <c r="F291" s="139"/>
      <c r="G291" s="136"/>
      <c r="H291" s="138"/>
      <c r="I291" s="138"/>
      <c r="J291" s="138"/>
      <c r="K291" s="138"/>
      <c r="L291" s="137"/>
    </row>
    <row r="292" spans="1:12" ht="36.6" customHeight="1">
      <c r="A292" s="136"/>
      <c r="B292" s="137"/>
      <c r="C292" s="136"/>
      <c r="D292" s="138"/>
      <c r="E292" s="137"/>
      <c r="F292" s="139"/>
      <c r="G292" s="136"/>
      <c r="H292" s="138"/>
      <c r="I292" s="138"/>
      <c r="J292" s="138"/>
      <c r="K292" s="138"/>
      <c r="L292" s="137"/>
    </row>
    <row r="293" spans="1:12" ht="36.6" customHeight="1">
      <c r="A293" s="136"/>
      <c r="B293" s="137"/>
      <c r="C293" s="136"/>
      <c r="D293" s="138"/>
      <c r="E293" s="137"/>
      <c r="F293" s="139"/>
      <c r="G293" s="136"/>
      <c r="H293" s="138"/>
      <c r="I293" s="138"/>
      <c r="J293" s="138"/>
      <c r="K293" s="138"/>
      <c r="L293" s="137"/>
    </row>
    <row r="294" spans="1:12" ht="36.6" customHeight="1">
      <c r="A294" s="136"/>
      <c r="B294" s="137"/>
      <c r="C294" s="136"/>
      <c r="D294" s="138"/>
      <c r="E294" s="137"/>
      <c r="F294" s="139"/>
      <c r="G294" s="136"/>
      <c r="H294" s="138"/>
      <c r="I294" s="138"/>
      <c r="J294" s="138"/>
      <c r="K294" s="138"/>
      <c r="L294" s="137"/>
    </row>
    <row r="295" spans="1:12" ht="36.6" customHeight="1">
      <c r="A295" s="136"/>
      <c r="B295" s="137"/>
      <c r="C295" s="136"/>
      <c r="D295" s="138"/>
      <c r="E295" s="137"/>
      <c r="F295" s="139"/>
      <c r="G295" s="136"/>
      <c r="H295" s="138"/>
      <c r="I295" s="138"/>
      <c r="J295" s="138"/>
      <c r="K295" s="138"/>
      <c r="L295" s="137"/>
    </row>
    <row r="296" spans="1:12" ht="36.6" customHeight="1">
      <c r="A296" s="136"/>
      <c r="B296" s="137"/>
      <c r="C296" s="136"/>
      <c r="D296" s="138"/>
      <c r="E296" s="137"/>
      <c r="F296" s="139"/>
      <c r="G296" s="136"/>
      <c r="H296" s="138"/>
      <c r="I296" s="138"/>
      <c r="J296" s="138"/>
      <c r="K296" s="138"/>
      <c r="L296" s="137"/>
    </row>
    <row r="297" spans="1:12" ht="36.6" customHeight="1">
      <c r="A297" s="136"/>
      <c r="B297" s="137"/>
      <c r="C297" s="136"/>
      <c r="D297" s="138"/>
      <c r="E297" s="137"/>
      <c r="F297" s="139"/>
      <c r="G297" s="136"/>
      <c r="H297" s="138"/>
      <c r="I297" s="138"/>
      <c r="J297" s="138"/>
      <c r="K297" s="138"/>
      <c r="L297" s="137"/>
    </row>
    <row r="298" spans="1:12" ht="34.799999999999997" customHeight="1">
      <c r="A298" s="136"/>
      <c r="B298" s="137"/>
      <c r="C298" s="136"/>
      <c r="D298" s="138"/>
      <c r="E298" s="137"/>
      <c r="F298" s="139"/>
      <c r="G298" s="136"/>
      <c r="H298" s="138"/>
      <c r="I298" s="138"/>
      <c r="J298" s="138"/>
      <c r="K298" s="138"/>
      <c r="L298" s="137"/>
    </row>
    <row r="299" spans="1:12" ht="34.799999999999997" customHeight="1">
      <c r="A299" s="136"/>
      <c r="B299" s="137"/>
      <c r="C299" s="136"/>
      <c r="D299" s="138"/>
      <c r="E299" s="137"/>
      <c r="F299" s="139"/>
      <c r="G299" s="136"/>
      <c r="H299" s="138"/>
      <c r="I299" s="138"/>
      <c r="J299" s="138"/>
      <c r="K299" s="138"/>
      <c r="L299" s="137"/>
    </row>
    <row r="300" spans="1:12" ht="34.799999999999997" customHeight="1">
      <c r="A300" s="136"/>
      <c r="B300" s="137"/>
      <c r="C300" s="136"/>
      <c r="D300" s="138"/>
      <c r="E300" s="137"/>
      <c r="F300" s="139"/>
      <c r="G300" s="136"/>
      <c r="H300" s="138"/>
      <c r="I300" s="138"/>
      <c r="J300" s="138"/>
      <c r="K300" s="138"/>
      <c r="L300" s="137"/>
    </row>
    <row r="301" spans="1:12" ht="34.799999999999997" customHeight="1">
      <c r="A301" s="136"/>
      <c r="B301" s="137"/>
      <c r="C301" s="136"/>
      <c r="D301" s="138"/>
      <c r="E301" s="137"/>
      <c r="F301" s="139"/>
      <c r="G301" s="136"/>
      <c r="H301" s="138"/>
      <c r="I301" s="138"/>
      <c r="J301" s="138"/>
      <c r="K301" s="138"/>
      <c r="L301" s="137"/>
    </row>
    <row r="302" spans="1:12" ht="34.799999999999997" customHeight="1">
      <c r="A302" s="136"/>
      <c r="B302" s="137"/>
      <c r="C302" s="136"/>
      <c r="D302" s="138"/>
      <c r="E302" s="137"/>
      <c r="F302" s="139"/>
      <c r="G302" s="136"/>
      <c r="H302" s="138"/>
      <c r="I302" s="138"/>
      <c r="J302" s="138"/>
      <c r="K302" s="138"/>
      <c r="L302" s="137"/>
    </row>
    <row r="303" spans="1:12" ht="34.799999999999997" customHeight="1">
      <c r="A303" s="136"/>
      <c r="B303" s="137"/>
      <c r="C303" s="136"/>
      <c r="D303" s="138"/>
      <c r="E303" s="137"/>
      <c r="F303" s="139"/>
      <c r="G303" s="136"/>
      <c r="H303" s="138"/>
      <c r="I303" s="138"/>
      <c r="J303" s="138"/>
      <c r="K303" s="138"/>
      <c r="L303" s="137"/>
    </row>
    <row r="304" spans="1:12" ht="34.799999999999997" customHeight="1">
      <c r="A304" s="136"/>
      <c r="B304" s="137"/>
      <c r="C304" s="136"/>
      <c r="D304" s="138"/>
      <c r="E304" s="137"/>
      <c r="F304" s="139"/>
      <c r="G304" s="136"/>
      <c r="H304" s="138"/>
      <c r="I304" s="138"/>
      <c r="J304" s="138"/>
      <c r="K304" s="138"/>
      <c r="L304" s="137"/>
    </row>
    <row r="305" spans="1:12" ht="34.799999999999997" customHeight="1">
      <c r="A305" s="136"/>
      <c r="B305" s="137"/>
      <c r="C305" s="136"/>
      <c r="D305" s="138"/>
      <c r="E305" s="137"/>
      <c r="F305" s="139"/>
      <c r="G305" s="136"/>
      <c r="H305" s="138"/>
      <c r="I305" s="138"/>
      <c r="J305" s="138"/>
      <c r="K305" s="138"/>
      <c r="L305" s="137"/>
    </row>
    <row r="306" spans="1:12" ht="34.799999999999997" customHeight="1">
      <c r="A306" s="136"/>
      <c r="B306" s="137"/>
      <c r="C306" s="136"/>
      <c r="D306" s="138"/>
      <c r="E306" s="137"/>
      <c r="F306" s="139"/>
      <c r="G306" s="136"/>
      <c r="H306" s="138"/>
      <c r="I306" s="138"/>
      <c r="J306" s="138"/>
      <c r="K306" s="138"/>
      <c r="L306" s="137"/>
    </row>
    <row r="307" spans="1:12" ht="34.799999999999997" customHeight="1">
      <c r="A307" s="136"/>
      <c r="B307" s="137"/>
      <c r="C307" s="136"/>
      <c r="D307" s="138"/>
      <c r="E307" s="137"/>
      <c r="F307" s="139"/>
      <c r="G307" s="136"/>
      <c r="H307" s="138"/>
      <c r="I307" s="138"/>
      <c r="J307" s="138"/>
      <c r="K307" s="138"/>
      <c r="L307" s="137"/>
    </row>
    <row r="308" spans="1:12" ht="34.799999999999997" customHeight="1">
      <c r="A308" s="136"/>
      <c r="B308" s="137"/>
      <c r="C308" s="136"/>
      <c r="D308" s="138"/>
      <c r="E308" s="137"/>
      <c r="F308" s="139"/>
      <c r="G308" s="136"/>
      <c r="H308" s="138"/>
      <c r="I308" s="138"/>
      <c r="J308" s="138"/>
      <c r="K308" s="138"/>
      <c r="L308" s="137"/>
    </row>
    <row r="309" spans="1:12" ht="34.799999999999997" customHeight="1">
      <c r="A309" s="136"/>
      <c r="B309" s="137"/>
      <c r="C309" s="136"/>
      <c r="D309" s="138"/>
      <c r="E309" s="137"/>
      <c r="F309" s="139"/>
      <c r="G309" s="136"/>
      <c r="H309" s="138"/>
      <c r="I309" s="138"/>
      <c r="J309" s="138"/>
      <c r="K309" s="138"/>
      <c r="L309" s="137"/>
    </row>
    <row r="310" spans="1:12" ht="34.799999999999997" customHeight="1"/>
    <row r="311" spans="1:12" ht="34.799999999999997" customHeight="1"/>
    <row r="312" spans="1:12" ht="34.799999999999997" customHeight="1"/>
    <row r="313" spans="1:12" ht="34.799999999999997" customHeight="1"/>
  </sheetData>
  <sheetProtection algorithmName="SHA-512" hashValue="K8mhADBGVQtQDo80R4h7LxpNOwDCDF6Os7YbnOdsfE4IoblMTowr0Yj9s0G7+hjaIkw+kqUHb93OCs2BgGoXAQ==" saltValue="3+Qg3l9GT9UFWbh5fnCtSA==" spinCount="100000" sheet="1" objects="1" scenarios="1"/>
  <mergeCells count="14">
    <mergeCell ref="A189:B189"/>
    <mergeCell ref="C189:E189"/>
    <mergeCell ref="A187:H187"/>
    <mergeCell ref="A214:H214"/>
    <mergeCell ref="A2:J2"/>
    <mergeCell ref="A3:J3"/>
    <mergeCell ref="A283:I283"/>
    <mergeCell ref="A285:B285"/>
    <mergeCell ref="C285:E285"/>
    <mergeCell ref="A216:B216"/>
    <mergeCell ref="C216:E216"/>
    <mergeCell ref="A250:H250"/>
    <mergeCell ref="A252:B252"/>
    <mergeCell ref="C252:E252"/>
  </mergeCells>
  <conditionalFormatting sqref="F4:F25 F157:F186 F188 F190:F213 F215 F217:F249 F251 F253:F282 F284 F286:F1048576">
    <cfRule type="cellIs" dxfId="1" priority="5" operator="equal">
      <formula>"Prioritaire"</formula>
    </cfRule>
  </conditionalFormatting>
  <conditionalFormatting sqref="F27:F50 F52:F75 F77:F99 F101:F127 F129:F155">
    <cfRule type="cellIs" dxfId="0" priority="6" operator="equal">
      <formula>"Prioritaire"</formula>
    </cfRule>
  </conditionalFormatting>
  <pageMargins left="0.39370078740157483" right="0.39370078740157483" top="0.15748031496062992" bottom="0.51181102362204722" header="0.19685039370078741" footer="0.11811023622047245"/>
  <pageSetup paperSize="9" scale="52" fitToHeight="0" orientation="portrait" r:id="rId1"/>
  <headerFooter>
    <oddFooter>&amp;L&amp;"+,Normal"&amp;10&amp;F&amp;C&amp;"+,Normal"&amp;10&amp;D&amp;R&amp;"+,Normal"&amp;10&amp;P sur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B7C33-D58F-4D7B-89B1-72B053798912}">
  <sheetPr codeName="Sheet4"/>
  <dimension ref="A1:I180"/>
  <sheetViews>
    <sheetView zoomScale="94" zoomScaleNormal="94" workbookViewId="0">
      <pane ySplit="1" topLeftCell="A10" activePane="bottomLeft" state="frozen"/>
      <selection activeCell="G1" sqref="G1"/>
      <selection pane="bottomLeft" activeCell="B14" sqref="B14"/>
    </sheetView>
  </sheetViews>
  <sheetFormatPr baseColWidth="10" defaultColWidth="11.44140625" defaultRowHeight="39.6" customHeight="1"/>
  <cols>
    <col min="1" max="1" width="39.5546875" style="1" bestFit="1" customWidth="1"/>
    <col min="2" max="2" width="54.109375" customWidth="1"/>
    <col min="3" max="3" width="33.5546875" style="3" customWidth="1"/>
    <col min="4" max="4" width="32" style="5" hidden="1" customWidth="1"/>
    <col min="5" max="5" width="24" style="3" customWidth="1"/>
    <col min="6" max="6" width="18.77734375" customWidth="1"/>
    <col min="7" max="7" width="25.33203125" style="119" customWidth="1"/>
    <col min="8" max="8" width="26.21875" style="124" customWidth="1"/>
    <col min="9" max="9" width="33.44140625" style="124" customWidth="1"/>
    <col min="10" max="10" width="33.6640625" style="4" customWidth="1"/>
    <col min="11" max="11" width="32.6640625" style="4" bestFit="1" customWidth="1"/>
    <col min="12" max="16384" width="11.44140625" style="4"/>
  </cols>
  <sheetData>
    <row r="1" spans="1:9" ht="39.6" customHeight="1">
      <c r="A1" s="18" t="s">
        <v>0</v>
      </c>
      <c r="B1" s="18" t="s">
        <v>484</v>
      </c>
      <c r="C1" s="18" t="s">
        <v>485</v>
      </c>
      <c r="D1" s="34" t="s">
        <v>496</v>
      </c>
      <c r="E1" s="34" t="s">
        <v>532</v>
      </c>
      <c r="F1" s="34" t="s">
        <v>557</v>
      </c>
      <c r="G1" s="120" t="s">
        <v>547</v>
      </c>
      <c r="H1" s="120" t="s">
        <v>548</v>
      </c>
      <c r="I1" s="120" t="s">
        <v>549</v>
      </c>
    </row>
    <row r="2" spans="1:9" ht="39.6" customHeight="1">
      <c r="A2" s="1" t="s">
        <v>4</v>
      </c>
      <c r="B2" s="1" t="s">
        <v>5</v>
      </c>
      <c r="C2" s="5" t="s">
        <v>342</v>
      </c>
      <c r="D2" s="1" t="s">
        <v>498</v>
      </c>
      <c r="E2" s="3" t="s">
        <v>2</v>
      </c>
      <c r="F2" s="3" t="s">
        <v>553</v>
      </c>
      <c r="G2" s="3" t="s">
        <v>586</v>
      </c>
      <c r="H2" s="3" t="s">
        <v>523</v>
      </c>
      <c r="I2" s="3" t="s">
        <v>586</v>
      </c>
    </row>
    <row r="3" spans="1:9" ht="39.6" customHeight="1">
      <c r="A3" s="1" t="s">
        <v>4</v>
      </c>
      <c r="B3" s="1" t="s">
        <v>6</v>
      </c>
      <c r="C3" s="5" t="s">
        <v>196</v>
      </c>
      <c r="D3" s="1" t="s">
        <v>498</v>
      </c>
      <c r="E3" s="3" t="s">
        <v>2</v>
      </c>
      <c r="F3" s="3" t="s">
        <v>553</v>
      </c>
      <c r="G3" s="3" t="s">
        <v>586</v>
      </c>
      <c r="H3" s="3" t="s">
        <v>523</v>
      </c>
      <c r="I3" s="3" t="s">
        <v>586</v>
      </c>
    </row>
    <row r="4" spans="1:9" ht="39.6" customHeight="1">
      <c r="A4" s="1" t="s">
        <v>4</v>
      </c>
      <c r="B4" s="1" t="s">
        <v>7</v>
      </c>
      <c r="C4" s="5" t="s">
        <v>197</v>
      </c>
      <c r="D4" s="1" t="s">
        <v>498</v>
      </c>
      <c r="E4" s="3" t="s">
        <v>2</v>
      </c>
      <c r="F4" s="3" t="s">
        <v>553</v>
      </c>
      <c r="G4" s="3" t="s">
        <v>586</v>
      </c>
      <c r="H4" s="3" t="s">
        <v>523</v>
      </c>
      <c r="I4" s="3" t="s">
        <v>586</v>
      </c>
    </row>
    <row r="5" spans="1:9" ht="39.6" customHeight="1">
      <c r="A5" s="1" t="s">
        <v>4</v>
      </c>
      <c r="B5" s="1" t="s">
        <v>8</v>
      </c>
      <c r="C5" s="5" t="s">
        <v>198</v>
      </c>
      <c r="D5" s="1" t="s">
        <v>498</v>
      </c>
      <c r="E5" s="3" t="s">
        <v>2</v>
      </c>
      <c r="F5" s="3" t="s">
        <v>553</v>
      </c>
      <c r="G5" s="3" t="s">
        <v>586</v>
      </c>
      <c r="H5" s="3" t="s">
        <v>523</v>
      </c>
      <c r="I5" s="3" t="s">
        <v>586</v>
      </c>
    </row>
    <row r="6" spans="1:9" ht="39.6" customHeight="1">
      <c r="A6" s="1" t="s">
        <v>4</v>
      </c>
      <c r="B6" s="1" t="s">
        <v>9</v>
      </c>
      <c r="C6" s="5" t="s">
        <v>199</v>
      </c>
      <c r="D6" s="1" t="s">
        <v>497</v>
      </c>
      <c r="E6" s="3" t="s">
        <v>2</v>
      </c>
      <c r="F6" s="3" t="s">
        <v>553</v>
      </c>
      <c r="G6" s="3" t="s">
        <v>586</v>
      </c>
      <c r="H6" s="3" t="s">
        <v>523</v>
      </c>
      <c r="I6" s="3" t="s">
        <v>586</v>
      </c>
    </row>
    <row r="7" spans="1:9" ht="39.6" customHeight="1">
      <c r="A7" s="1" t="s">
        <v>4</v>
      </c>
      <c r="B7" s="1" t="s">
        <v>10</v>
      </c>
      <c r="C7" s="5" t="s">
        <v>200</v>
      </c>
      <c r="D7" s="1" t="s">
        <v>497</v>
      </c>
      <c r="E7" s="3" t="s">
        <v>2</v>
      </c>
      <c r="F7" s="3" t="s">
        <v>553</v>
      </c>
      <c r="G7" s="3" t="s">
        <v>586</v>
      </c>
      <c r="H7" s="3" t="s">
        <v>523</v>
      </c>
      <c r="I7" s="3" t="s">
        <v>586</v>
      </c>
    </row>
    <row r="8" spans="1:9" ht="39.6" customHeight="1">
      <c r="A8" s="1" t="s">
        <v>4</v>
      </c>
      <c r="B8" s="1" t="s">
        <v>11</v>
      </c>
      <c r="C8" s="5" t="s">
        <v>201</v>
      </c>
      <c r="D8" s="1" t="s">
        <v>497</v>
      </c>
      <c r="E8" s="3" t="s">
        <v>2</v>
      </c>
      <c r="F8" s="3" t="s">
        <v>554</v>
      </c>
      <c r="G8" s="3" t="s">
        <v>586</v>
      </c>
      <c r="H8" s="3" t="s">
        <v>523</v>
      </c>
      <c r="I8" s="3" t="s">
        <v>586</v>
      </c>
    </row>
    <row r="9" spans="1:9" ht="39.6" customHeight="1">
      <c r="A9" s="1" t="s">
        <v>4</v>
      </c>
      <c r="B9" s="1" t="s">
        <v>12</v>
      </c>
      <c r="C9" s="5" t="s">
        <v>202</v>
      </c>
      <c r="D9" s="1" t="s">
        <v>498</v>
      </c>
      <c r="E9" s="3" t="s">
        <v>2</v>
      </c>
      <c r="F9" s="3" t="s">
        <v>553</v>
      </c>
      <c r="G9" s="3" t="s">
        <v>586</v>
      </c>
      <c r="H9" s="3" t="s">
        <v>523</v>
      </c>
      <c r="I9" s="3" t="s">
        <v>586</v>
      </c>
    </row>
    <row r="10" spans="1:9" ht="39.6" customHeight="1">
      <c r="A10" s="1" t="s">
        <v>4</v>
      </c>
      <c r="B10" s="1" t="s">
        <v>13</v>
      </c>
      <c r="C10" s="5" t="s">
        <v>203</v>
      </c>
      <c r="D10" s="1" t="s">
        <v>498</v>
      </c>
      <c r="E10" s="3" t="s">
        <v>2</v>
      </c>
      <c r="F10" s="3" t="s">
        <v>553</v>
      </c>
      <c r="G10" s="3" t="s">
        <v>586</v>
      </c>
      <c r="H10" s="3" t="s">
        <v>523</v>
      </c>
      <c r="I10" s="3" t="s">
        <v>586</v>
      </c>
    </row>
    <row r="11" spans="1:9" ht="39.6" customHeight="1">
      <c r="A11" s="1" t="s">
        <v>4</v>
      </c>
      <c r="B11" s="1" t="s">
        <v>14</v>
      </c>
      <c r="C11" s="5" t="s">
        <v>204</v>
      </c>
      <c r="D11" s="1" t="s">
        <v>498</v>
      </c>
      <c r="E11" s="3" t="s">
        <v>2</v>
      </c>
      <c r="F11" s="3" t="s">
        <v>553</v>
      </c>
      <c r="G11" s="3" t="s">
        <v>586</v>
      </c>
      <c r="H11" s="3" t="s">
        <v>523</v>
      </c>
      <c r="I11" s="3" t="s">
        <v>586</v>
      </c>
    </row>
    <row r="12" spans="1:9" ht="39.6" customHeight="1">
      <c r="A12" s="1" t="s">
        <v>4</v>
      </c>
      <c r="B12" s="1" t="s">
        <v>15</v>
      </c>
      <c r="C12" s="5" t="s">
        <v>205</v>
      </c>
      <c r="D12" s="1" t="s">
        <v>498</v>
      </c>
      <c r="E12" s="3" t="s">
        <v>2</v>
      </c>
      <c r="F12" s="3" t="s">
        <v>553</v>
      </c>
      <c r="G12" s="3" t="s">
        <v>586</v>
      </c>
      <c r="H12" s="3" t="s">
        <v>523</v>
      </c>
      <c r="I12" s="3" t="s">
        <v>586</v>
      </c>
    </row>
    <row r="13" spans="1:9" ht="39.6" customHeight="1">
      <c r="A13" s="1" t="s">
        <v>4</v>
      </c>
      <c r="B13" s="1" t="s">
        <v>16</v>
      </c>
      <c r="C13" s="5" t="s">
        <v>206</v>
      </c>
      <c r="D13" s="1" t="s">
        <v>498</v>
      </c>
      <c r="E13" s="3" t="s">
        <v>430</v>
      </c>
      <c r="F13" s="3"/>
      <c r="G13" s="3" t="s">
        <v>586</v>
      </c>
      <c r="H13" s="3" t="s">
        <v>523</v>
      </c>
      <c r="I13" s="3" t="s">
        <v>586</v>
      </c>
    </row>
    <row r="14" spans="1:9" ht="39.6" customHeight="1">
      <c r="A14" s="1" t="s">
        <v>17</v>
      </c>
      <c r="B14" s="1" t="s">
        <v>590</v>
      </c>
      <c r="C14" s="5" t="s">
        <v>207</v>
      </c>
      <c r="D14" s="1" t="s">
        <v>496</v>
      </c>
      <c r="E14" s="3" t="s">
        <v>430</v>
      </c>
      <c r="F14" s="3" t="s">
        <v>554</v>
      </c>
      <c r="G14" s="3" t="s">
        <v>586</v>
      </c>
      <c r="H14" s="3" t="s">
        <v>586</v>
      </c>
      <c r="I14" s="3" t="s">
        <v>534</v>
      </c>
    </row>
    <row r="15" spans="1:9" ht="39.6" customHeight="1">
      <c r="A15" s="1" t="s">
        <v>17</v>
      </c>
      <c r="B15" s="1" t="s">
        <v>18</v>
      </c>
      <c r="C15" s="5" t="s">
        <v>208</v>
      </c>
      <c r="D15" s="1" t="s">
        <v>496</v>
      </c>
      <c r="E15" s="3" t="s">
        <v>430</v>
      </c>
      <c r="F15" s="3" t="s">
        <v>554</v>
      </c>
      <c r="G15" s="3" t="s">
        <v>535</v>
      </c>
      <c r="H15" s="3" t="s">
        <v>586</v>
      </c>
      <c r="I15" s="3" t="s">
        <v>586</v>
      </c>
    </row>
    <row r="16" spans="1:9" ht="39.6" customHeight="1">
      <c r="A16" s="1" t="s">
        <v>17</v>
      </c>
      <c r="B16" s="1" t="s">
        <v>344</v>
      </c>
      <c r="C16" s="5" t="s">
        <v>209</v>
      </c>
      <c r="D16" s="1" t="s">
        <v>496</v>
      </c>
      <c r="E16" s="3" t="s">
        <v>430</v>
      </c>
      <c r="F16" s="3" t="s">
        <v>554</v>
      </c>
      <c r="G16" s="3" t="s">
        <v>535</v>
      </c>
      <c r="H16" s="3" t="s">
        <v>586</v>
      </c>
      <c r="I16" s="3" t="s">
        <v>586</v>
      </c>
    </row>
    <row r="17" spans="1:9" ht="39.6" customHeight="1">
      <c r="A17" s="1" t="s">
        <v>17</v>
      </c>
      <c r="B17" s="1" t="s">
        <v>19</v>
      </c>
      <c r="C17" s="5" t="s">
        <v>210</v>
      </c>
      <c r="D17" s="1" t="s">
        <v>496</v>
      </c>
      <c r="E17" s="3" t="s">
        <v>430</v>
      </c>
      <c r="F17" s="3" t="s">
        <v>553</v>
      </c>
      <c r="G17" s="3" t="s">
        <v>586</v>
      </c>
      <c r="H17" s="3" t="s">
        <v>523</v>
      </c>
      <c r="I17" s="3" t="s">
        <v>586</v>
      </c>
    </row>
    <row r="18" spans="1:9" ht="39.6" customHeight="1">
      <c r="A18" s="1" t="s">
        <v>17</v>
      </c>
      <c r="B18" s="1" t="s">
        <v>20</v>
      </c>
      <c r="C18" s="5" t="s">
        <v>211</v>
      </c>
      <c r="D18" s="1" t="s">
        <v>496</v>
      </c>
      <c r="E18" s="3" t="s">
        <v>430</v>
      </c>
      <c r="F18" s="3" t="s">
        <v>553</v>
      </c>
      <c r="G18" s="3" t="s">
        <v>535</v>
      </c>
      <c r="H18" s="3" t="s">
        <v>586</v>
      </c>
      <c r="I18" s="3" t="s">
        <v>586</v>
      </c>
    </row>
    <row r="19" spans="1:9" ht="39.6" customHeight="1">
      <c r="A19" s="1" t="s">
        <v>17</v>
      </c>
      <c r="B19" s="1" t="s">
        <v>21</v>
      </c>
      <c r="C19" s="5" t="s">
        <v>212</v>
      </c>
      <c r="D19" s="1" t="s">
        <v>496</v>
      </c>
      <c r="E19" s="3" t="s">
        <v>430</v>
      </c>
      <c r="F19" s="3" t="s">
        <v>554</v>
      </c>
      <c r="G19" s="3" t="s">
        <v>586</v>
      </c>
      <c r="H19" s="3" t="s">
        <v>586</v>
      </c>
      <c r="I19" s="3" t="s">
        <v>534</v>
      </c>
    </row>
    <row r="20" spans="1:9" ht="39.6" customHeight="1">
      <c r="A20" s="1" t="s">
        <v>17</v>
      </c>
      <c r="B20" s="1" t="s">
        <v>22</v>
      </c>
      <c r="C20" s="5" t="s">
        <v>213</v>
      </c>
      <c r="D20" s="1" t="s">
        <v>497</v>
      </c>
      <c r="E20" s="3" t="s">
        <v>430</v>
      </c>
      <c r="F20" s="3" t="s">
        <v>554</v>
      </c>
      <c r="G20" s="3" t="s">
        <v>535</v>
      </c>
      <c r="H20" s="3" t="s">
        <v>586</v>
      </c>
      <c r="I20" s="3" t="s">
        <v>586</v>
      </c>
    </row>
    <row r="21" spans="1:9" ht="39.6" customHeight="1">
      <c r="A21" s="1" t="s">
        <v>17</v>
      </c>
      <c r="B21" s="1" t="s">
        <v>23</v>
      </c>
      <c r="C21" s="5" t="s">
        <v>214</v>
      </c>
      <c r="D21" s="1" t="s">
        <v>497</v>
      </c>
      <c r="E21" s="3" t="s">
        <v>430</v>
      </c>
      <c r="F21" s="3" t="s">
        <v>554</v>
      </c>
      <c r="G21" s="3" t="s">
        <v>535</v>
      </c>
      <c r="H21" s="3" t="s">
        <v>586</v>
      </c>
      <c r="I21" s="3" t="s">
        <v>586</v>
      </c>
    </row>
    <row r="22" spans="1:9" ht="39.6" customHeight="1">
      <c r="A22" s="1" t="s">
        <v>17</v>
      </c>
      <c r="B22" s="1" t="s">
        <v>24</v>
      </c>
      <c r="C22" s="5" t="s">
        <v>215</v>
      </c>
      <c r="D22" s="1" t="s">
        <v>497</v>
      </c>
      <c r="E22" s="3" t="s">
        <v>430</v>
      </c>
      <c r="F22" s="3" t="s">
        <v>430</v>
      </c>
      <c r="G22" s="3" t="s">
        <v>586</v>
      </c>
      <c r="H22" s="3" t="s">
        <v>586</v>
      </c>
      <c r="I22" s="3" t="s">
        <v>586</v>
      </c>
    </row>
    <row r="23" spans="1:9" ht="39.6" customHeight="1">
      <c r="A23" s="1" t="s">
        <v>25</v>
      </c>
      <c r="B23" s="1" t="s">
        <v>26</v>
      </c>
      <c r="C23" s="5" t="s">
        <v>216</v>
      </c>
      <c r="D23" s="1" t="s">
        <v>496</v>
      </c>
      <c r="E23" s="3" t="s">
        <v>430</v>
      </c>
      <c r="F23" s="3" t="s">
        <v>554</v>
      </c>
      <c r="G23" s="3" t="s">
        <v>535</v>
      </c>
      <c r="H23" s="3" t="s">
        <v>586</v>
      </c>
      <c r="I23" s="3" t="s">
        <v>586</v>
      </c>
    </row>
    <row r="24" spans="1:9" ht="39.6" customHeight="1">
      <c r="A24" s="1" t="s">
        <v>25</v>
      </c>
      <c r="B24" s="1" t="s">
        <v>27</v>
      </c>
      <c r="C24" s="5" t="s">
        <v>217</v>
      </c>
      <c r="D24" s="1" t="s">
        <v>496</v>
      </c>
      <c r="E24" s="3" t="s">
        <v>430</v>
      </c>
      <c r="F24" s="3" t="s">
        <v>554</v>
      </c>
      <c r="G24" s="3" t="s">
        <v>535</v>
      </c>
      <c r="H24" s="3" t="s">
        <v>586</v>
      </c>
      <c r="I24" s="3" t="s">
        <v>586</v>
      </c>
    </row>
    <row r="25" spans="1:9" ht="39.6" customHeight="1">
      <c r="A25" s="1" t="s">
        <v>25</v>
      </c>
      <c r="B25" s="1" t="s">
        <v>28</v>
      </c>
      <c r="C25" s="5" t="s">
        <v>218</v>
      </c>
      <c r="D25" s="1" t="s">
        <v>496</v>
      </c>
      <c r="E25" s="3" t="s">
        <v>430</v>
      </c>
      <c r="F25" s="3" t="s">
        <v>554</v>
      </c>
      <c r="G25" s="3" t="s">
        <v>535</v>
      </c>
      <c r="H25" s="3" t="s">
        <v>586</v>
      </c>
      <c r="I25" s="3" t="s">
        <v>586</v>
      </c>
    </row>
    <row r="26" spans="1:9" ht="39.6" customHeight="1">
      <c r="A26" s="1" t="s">
        <v>25</v>
      </c>
      <c r="B26" s="1" t="s">
        <v>29</v>
      </c>
      <c r="C26" s="5" t="s">
        <v>219</v>
      </c>
      <c r="D26" s="1" t="s">
        <v>496</v>
      </c>
      <c r="E26" s="3" t="s">
        <v>430</v>
      </c>
      <c r="F26" s="3" t="s">
        <v>554</v>
      </c>
      <c r="G26" s="3" t="s">
        <v>535</v>
      </c>
      <c r="H26" s="3" t="s">
        <v>586</v>
      </c>
      <c r="I26" s="3" t="s">
        <v>586</v>
      </c>
    </row>
    <row r="27" spans="1:9" ht="39.6" customHeight="1">
      <c r="A27" s="1" t="s">
        <v>25</v>
      </c>
      <c r="B27" s="1" t="s">
        <v>30</v>
      </c>
      <c r="C27" s="5" t="s">
        <v>220</v>
      </c>
      <c r="D27" s="1" t="s">
        <v>496</v>
      </c>
      <c r="E27" s="3" t="s">
        <v>430</v>
      </c>
      <c r="F27" s="3" t="s">
        <v>554</v>
      </c>
      <c r="G27" s="3" t="s">
        <v>535</v>
      </c>
      <c r="H27" s="3" t="s">
        <v>586</v>
      </c>
      <c r="I27" s="3" t="s">
        <v>586</v>
      </c>
    </row>
    <row r="28" spans="1:9" ht="39.6" customHeight="1">
      <c r="A28" s="1" t="s">
        <v>25</v>
      </c>
      <c r="B28" s="1" t="s">
        <v>31</v>
      </c>
      <c r="C28" s="5" t="s">
        <v>221</v>
      </c>
      <c r="D28" s="1" t="s">
        <v>496</v>
      </c>
      <c r="E28" s="3" t="s">
        <v>430</v>
      </c>
      <c r="F28" s="3" t="s">
        <v>430</v>
      </c>
      <c r="G28" s="3" t="s">
        <v>535</v>
      </c>
      <c r="H28" s="3" t="s">
        <v>586</v>
      </c>
      <c r="I28" s="3" t="s">
        <v>586</v>
      </c>
    </row>
    <row r="29" spans="1:9" ht="39.6" customHeight="1">
      <c r="A29" s="1" t="s">
        <v>25</v>
      </c>
      <c r="B29" s="1" t="s">
        <v>32</v>
      </c>
      <c r="C29" s="5" t="s">
        <v>222</v>
      </c>
      <c r="D29" s="1" t="s">
        <v>496</v>
      </c>
      <c r="E29" s="3" t="s">
        <v>430</v>
      </c>
      <c r="F29" s="3" t="s">
        <v>430</v>
      </c>
      <c r="G29" s="3" t="s">
        <v>535</v>
      </c>
      <c r="H29" s="3" t="s">
        <v>586</v>
      </c>
      <c r="I29" s="3" t="s">
        <v>586</v>
      </c>
    </row>
    <row r="30" spans="1:9" ht="39.6" customHeight="1">
      <c r="A30" s="1" t="s">
        <v>25</v>
      </c>
      <c r="B30" s="1" t="s">
        <v>33</v>
      </c>
      <c r="C30" s="5" t="s">
        <v>223</v>
      </c>
      <c r="D30" s="1" t="s">
        <v>496</v>
      </c>
      <c r="E30" s="3" t="s">
        <v>430</v>
      </c>
      <c r="F30" s="3" t="s">
        <v>430</v>
      </c>
      <c r="G30" s="3" t="s">
        <v>535</v>
      </c>
      <c r="H30" s="3" t="s">
        <v>586</v>
      </c>
      <c r="I30" s="3" t="s">
        <v>586</v>
      </c>
    </row>
    <row r="31" spans="1:9" ht="39.6" customHeight="1">
      <c r="A31" s="1" t="s">
        <v>25</v>
      </c>
      <c r="B31" s="1" t="s">
        <v>34</v>
      </c>
      <c r="C31" s="5" t="s">
        <v>224</v>
      </c>
      <c r="D31" s="1" t="s">
        <v>496</v>
      </c>
      <c r="E31" s="3" t="s">
        <v>430</v>
      </c>
      <c r="F31" s="3" t="s">
        <v>554</v>
      </c>
      <c r="G31" s="3" t="s">
        <v>535</v>
      </c>
      <c r="H31" s="3" t="s">
        <v>586</v>
      </c>
      <c r="I31" s="3" t="s">
        <v>586</v>
      </c>
    </row>
    <row r="32" spans="1:9" ht="39.6" customHeight="1">
      <c r="A32" s="1" t="s">
        <v>25</v>
      </c>
      <c r="B32" s="1" t="s">
        <v>35</v>
      </c>
      <c r="C32" s="5" t="s">
        <v>225</v>
      </c>
      <c r="D32" s="1" t="s">
        <v>496</v>
      </c>
      <c r="E32" s="3" t="s">
        <v>430</v>
      </c>
      <c r="F32" s="3" t="s">
        <v>430</v>
      </c>
      <c r="G32" s="3" t="s">
        <v>535</v>
      </c>
      <c r="H32" s="3" t="s">
        <v>586</v>
      </c>
      <c r="I32" s="3" t="s">
        <v>586</v>
      </c>
    </row>
    <row r="33" spans="1:9" ht="39.6" customHeight="1">
      <c r="A33" s="1" t="s">
        <v>25</v>
      </c>
      <c r="B33" s="1" t="s">
        <v>36</v>
      </c>
      <c r="C33" s="5" t="s">
        <v>226</v>
      </c>
      <c r="D33" s="1" t="s">
        <v>496</v>
      </c>
      <c r="E33" s="3" t="s">
        <v>430</v>
      </c>
      <c r="F33" s="3" t="s">
        <v>430</v>
      </c>
      <c r="G33" s="3" t="s">
        <v>535</v>
      </c>
      <c r="H33" s="3" t="s">
        <v>586</v>
      </c>
      <c r="I33" s="3" t="s">
        <v>586</v>
      </c>
    </row>
    <row r="34" spans="1:9" ht="39.6" customHeight="1">
      <c r="A34" s="1" t="s">
        <v>25</v>
      </c>
      <c r="B34" s="1" t="s">
        <v>37</v>
      </c>
      <c r="C34" s="5" t="s">
        <v>227</v>
      </c>
      <c r="D34" s="1" t="s">
        <v>496</v>
      </c>
      <c r="E34" s="3" t="s">
        <v>430</v>
      </c>
      <c r="F34" s="3" t="s">
        <v>553</v>
      </c>
      <c r="G34" s="3" t="s">
        <v>535</v>
      </c>
      <c r="H34" s="3" t="s">
        <v>586</v>
      </c>
      <c r="I34" s="3" t="s">
        <v>586</v>
      </c>
    </row>
    <row r="35" spans="1:9" ht="39.6" customHeight="1">
      <c r="A35" s="1" t="s">
        <v>25</v>
      </c>
      <c r="B35" s="1" t="s">
        <v>38</v>
      </c>
      <c r="C35" s="5" t="s">
        <v>228</v>
      </c>
      <c r="D35" s="1" t="s">
        <v>496</v>
      </c>
      <c r="E35" s="3" t="s">
        <v>430</v>
      </c>
      <c r="F35" s="3" t="s">
        <v>553</v>
      </c>
      <c r="G35" s="3" t="s">
        <v>535</v>
      </c>
      <c r="H35" s="3" t="s">
        <v>586</v>
      </c>
      <c r="I35" s="3" t="s">
        <v>586</v>
      </c>
    </row>
    <row r="36" spans="1:9" ht="39.6" customHeight="1">
      <c r="A36" s="1" t="s">
        <v>39</v>
      </c>
      <c r="B36" s="1" t="s">
        <v>40</v>
      </c>
      <c r="C36" s="5" t="s">
        <v>229</v>
      </c>
      <c r="D36" s="1" t="s">
        <v>496</v>
      </c>
      <c r="E36" s="3" t="s">
        <v>430</v>
      </c>
      <c r="F36" s="3" t="s">
        <v>553</v>
      </c>
      <c r="G36" s="3" t="s">
        <v>535</v>
      </c>
      <c r="H36" s="3" t="s">
        <v>586</v>
      </c>
      <c r="I36" s="3" t="s">
        <v>586</v>
      </c>
    </row>
    <row r="37" spans="1:9" ht="39.6" customHeight="1">
      <c r="A37" s="1" t="s">
        <v>39</v>
      </c>
      <c r="B37" s="1" t="s">
        <v>41</v>
      </c>
      <c r="C37" s="5" t="s">
        <v>230</v>
      </c>
      <c r="D37" s="1" t="s">
        <v>496</v>
      </c>
      <c r="E37" s="3" t="s">
        <v>430</v>
      </c>
      <c r="F37" s="3" t="s">
        <v>553</v>
      </c>
      <c r="G37" s="3" t="s">
        <v>535</v>
      </c>
      <c r="H37" s="3" t="s">
        <v>586</v>
      </c>
      <c r="I37" s="3" t="s">
        <v>586</v>
      </c>
    </row>
    <row r="38" spans="1:9" ht="39.6" customHeight="1">
      <c r="A38" s="1" t="s">
        <v>39</v>
      </c>
      <c r="B38" s="1" t="s">
        <v>345</v>
      </c>
      <c r="C38" s="5" t="s">
        <v>231</v>
      </c>
      <c r="D38" s="1" t="s">
        <v>496</v>
      </c>
      <c r="E38" s="3" t="s">
        <v>430</v>
      </c>
      <c r="F38" s="3" t="s">
        <v>553</v>
      </c>
      <c r="G38" s="3" t="s">
        <v>535</v>
      </c>
      <c r="H38" s="3" t="s">
        <v>586</v>
      </c>
      <c r="I38" s="3" t="s">
        <v>586</v>
      </c>
    </row>
    <row r="39" spans="1:9" ht="39.6" customHeight="1">
      <c r="A39" s="1" t="s">
        <v>39</v>
      </c>
      <c r="B39" s="1" t="s">
        <v>42</v>
      </c>
      <c r="C39" s="5" t="s">
        <v>232</v>
      </c>
      <c r="D39" s="1" t="s">
        <v>496</v>
      </c>
      <c r="E39" s="3" t="s">
        <v>430</v>
      </c>
      <c r="F39" s="3" t="s">
        <v>553</v>
      </c>
      <c r="G39" s="3" t="s">
        <v>535</v>
      </c>
      <c r="H39" s="3" t="s">
        <v>586</v>
      </c>
      <c r="I39" s="3" t="s">
        <v>586</v>
      </c>
    </row>
    <row r="40" spans="1:9" ht="39.6" customHeight="1">
      <c r="A40" s="1" t="s">
        <v>39</v>
      </c>
      <c r="B40" s="1" t="s">
        <v>43</v>
      </c>
      <c r="C40" s="5" t="s">
        <v>233</v>
      </c>
      <c r="D40" s="1" t="s">
        <v>496</v>
      </c>
      <c r="E40" s="3" t="s">
        <v>430</v>
      </c>
      <c r="F40" s="3" t="s">
        <v>553</v>
      </c>
      <c r="G40" s="3" t="s">
        <v>535</v>
      </c>
      <c r="H40" s="3" t="s">
        <v>586</v>
      </c>
      <c r="I40" s="3" t="s">
        <v>586</v>
      </c>
    </row>
    <row r="41" spans="1:9" ht="39.6" customHeight="1">
      <c r="A41" s="1" t="s">
        <v>39</v>
      </c>
      <c r="B41" s="1" t="s">
        <v>44</v>
      </c>
      <c r="C41" s="5" t="s">
        <v>234</v>
      </c>
      <c r="D41" s="1" t="s">
        <v>496</v>
      </c>
      <c r="E41" s="3" t="s">
        <v>430</v>
      </c>
      <c r="F41" s="3" t="s">
        <v>553</v>
      </c>
      <c r="G41" s="3" t="s">
        <v>535</v>
      </c>
      <c r="H41" s="3" t="s">
        <v>586</v>
      </c>
      <c r="I41" s="3" t="s">
        <v>586</v>
      </c>
    </row>
    <row r="42" spans="1:9" ht="39.6" customHeight="1">
      <c r="A42" s="1" t="s">
        <v>39</v>
      </c>
      <c r="B42" s="1" t="s">
        <v>45</v>
      </c>
      <c r="C42" s="5" t="s">
        <v>235</v>
      </c>
      <c r="D42" s="1" t="s">
        <v>496</v>
      </c>
      <c r="E42" s="3" t="s">
        <v>430</v>
      </c>
      <c r="F42" s="3" t="s">
        <v>430</v>
      </c>
      <c r="G42" s="3" t="s">
        <v>535</v>
      </c>
      <c r="H42" s="3" t="s">
        <v>586</v>
      </c>
      <c r="I42" s="3" t="s">
        <v>586</v>
      </c>
    </row>
    <row r="43" spans="1:9" ht="39.6" customHeight="1">
      <c r="A43" s="1" t="s">
        <v>39</v>
      </c>
      <c r="B43" s="1" t="s">
        <v>46</v>
      </c>
      <c r="C43" s="5" t="s">
        <v>236</v>
      </c>
      <c r="D43" s="1" t="s">
        <v>496</v>
      </c>
      <c r="E43" s="3" t="s">
        <v>430</v>
      </c>
      <c r="F43" s="3" t="s">
        <v>430</v>
      </c>
      <c r="G43" s="3" t="s">
        <v>535</v>
      </c>
      <c r="H43" s="3" t="s">
        <v>586</v>
      </c>
      <c r="I43" s="3" t="s">
        <v>586</v>
      </c>
    </row>
    <row r="44" spans="1:9" ht="39.6" customHeight="1">
      <c r="A44" s="1" t="s">
        <v>341</v>
      </c>
      <c r="B44" s="1" t="s">
        <v>47</v>
      </c>
      <c r="C44" s="5" t="s">
        <v>237</v>
      </c>
      <c r="D44" s="1" t="s">
        <v>497</v>
      </c>
      <c r="E44" s="3" t="s">
        <v>2</v>
      </c>
      <c r="F44" s="3" t="s">
        <v>553</v>
      </c>
      <c r="G44" s="3" t="s">
        <v>535</v>
      </c>
      <c r="H44" s="3" t="s">
        <v>586</v>
      </c>
      <c r="I44" s="3" t="s">
        <v>586</v>
      </c>
    </row>
    <row r="45" spans="1:9" ht="39.6" customHeight="1">
      <c r="A45" s="1" t="s">
        <v>341</v>
      </c>
      <c r="B45" s="1" t="s">
        <v>48</v>
      </c>
      <c r="C45" s="5" t="s">
        <v>238</v>
      </c>
      <c r="D45" s="1" t="s">
        <v>497</v>
      </c>
      <c r="E45" s="3" t="s">
        <v>2</v>
      </c>
      <c r="F45" s="3" t="s">
        <v>553</v>
      </c>
      <c r="G45" s="3" t="s">
        <v>535</v>
      </c>
      <c r="H45" s="3" t="s">
        <v>586</v>
      </c>
      <c r="I45" s="3" t="s">
        <v>586</v>
      </c>
    </row>
    <row r="46" spans="1:9" ht="39.6" customHeight="1">
      <c r="A46" s="1" t="s">
        <v>341</v>
      </c>
      <c r="B46" s="1" t="s">
        <v>49</v>
      </c>
      <c r="C46" s="5" t="s">
        <v>239</v>
      </c>
      <c r="D46" s="1" t="s">
        <v>497</v>
      </c>
      <c r="E46" s="3" t="s">
        <v>2</v>
      </c>
      <c r="F46" s="3" t="s">
        <v>553</v>
      </c>
      <c r="G46" s="3" t="s">
        <v>535</v>
      </c>
      <c r="H46" s="3" t="s">
        <v>586</v>
      </c>
      <c r="I46" s="3" t="s">
        <v>586</v>
      </c>
    </row>
    <row r="47" spans="1:9" ht="39.6" customHeight="1">
      <c r="A47" s="1" t="s">
        <v>341</v>
      </c>
      <c r="B47" s="1" t="s">
        <v>50</v>
      </c>
      <c r="C47" s="5" t="s">
        <v>347</v>
      </c>
      <c r="D47" s="1" t="s">
        <v>497</v>
      </c>
      <c r="E47" s="3" t="s">
        <v>2</v>
      </c>
      <c r="F47" s="3" t="s">
        <v>553</v>
      </c>
      <c r="G47" s="3" t="s">
        <v>535</v>
      </c>
      <c r="H47" s="3" t="s">
        <v>586</v>
      </c>
      <c r="I47" s="3" t="s">
        <v>586</v>
      </c>
    </row>
    <row r="48" spans="1:9" ht="39.6" customHeight="1">
      <c r="A48" s="1" t="s">
        <v>341</v>
      </c>
      <c r="B48" s="1" t="s">
        <v>51</v>
      </c>
      <c r="C48" s="5" t="s">
        <v>240</v>
      </c>
      <c r="D48" s="1" t="s">
        <v>497</v>
      </c>
      <c r="E48" s="3" t="s">
        <v>2</v>
      </c>
      <c r="F48" s="3" t="s">
        <v>553</v>
      </c>
      <c r="G48" s="3" t="s">
        <v>535</v>
      </c>
      <c r="H48" s="3" t="s">
        <v>586</v>
      </c>
      <c r="I48" s="3" t="s">
        <v>586</v>
      </c>
    </row>
    <row r="49" spans="1:9" ht="39.6" customHeight="1">
      <c r="A49" s="1" t="s">
        <v>341</v>
      </c>
      <c r="B49" s="1" t="s">
        <v>52</v>
      </c>
      <c r="C49" s="5" t="s">
        <v>241</v>
      </c>
      <c r="D49" s="1" t="s">
        <v>497</v>
      </c>
      <c r="E49" s="3" t="s">
        <v>2</v>
      </c>
      <c r="F49" s="3" t="s">
        <v>553</v>
      </c>
      <c r="G49" s="3" t="s">
        <v>535</v>
      </c>
      <c r="H49" s="3" t="s">
        <v>586</v>
      </c>
      <c r="I49" s="3" t="s">
        <v>586</v>
      </c>
    </row>
    <row r="50" spans="1:9" ht="39.6" customHeight="1">
      <c r="A50" s="1" t="s">
        <v>341</v>
      </c>
      <c r="B50" s="1" t="s">
        <v>53</v>
      </c>
      <c r="C50" s="5" t="s">
        <v>242</v>
      </c>
      <c r="D50" s="1" t="s">
        <v>497</v>
      </c>
      <c r="E50" s="3" t="s">
        <v>2</v>
      </c>
      <c r="F50" s="3" t="s">
        <v>553</v>
      </c>
      <c r="G50" s="3" t="s">
        <v>535</v>
      </c>
      <c r="H50" s="3" t="s">
        <v>586</v>
      </c>
      <c r="I50" s="3" t="s">
        <v>586</v>
      </c>
    </row>
    <row r="51" spans="1:9" ht="39.6" customHeight="1">
      <c r="A51" s="1" t="s">
        <v>341</v>
      </c>
      <c r="B51" s="1" t="s">
        <v>54</v>
      </c>
      <c r="C51" s="5" t="s">
        <v>348</v>
      </c>
      <c r="D51" s="1" t="s">
        <v>497</v>
      </c>
      <c r="E51" s="3" t="s">
        <v>2</v>
      </c>
      <c r="F51" s="3" t="s">
        <v>553</v>
      </c>
      <c r="G51" s="3" t="s">
        <v>535</v>
      </c>
      <c r="H51" s="3" t="s">
        <v>586</v>
      </c>
      <c r="I51" s="3" t="s">
        <v>586</v>
      </c>
    </row>
    <row r="52" spans="1:9" ht="39.6" customHeight="1">
      <c r="A52" s="1" t="s">
        <v>341</v>
      </c>
      <c r="B52" s="1" t="s">
        <v>55</v>
      </c>
      <c r="C52" s="5" t="s">
        <v>349</v>
      </c>
      <c r="D52" s="1" t="s">
        <v>497</v>
      </c>
      <c r="E52" s="3" t="s">
        <v>2</v>
      </c>
      <c r="F52" s="3" t="s">
        <v>553</v>
      </c>
      <c r="G52" s="3" t="s">
        <v>535</v>
      </c>
      <c r="H52" s="3" t="s">
        <v>586</v>
      </c>
      <c r="I52" s="3" t="s">
        <v>586</v>
      </c>
    </row>
    <row r="53" spans="1:9" ht="39.6" customHeight="1">
      <c r="A53" s="1" t="s">
        <v>341</v>
      </c>
      <c r="B53" s="1" t="s">
        <v>56</v>
      </c>
      <c r="C53" s="5" t="s">
        <v>350</v>
      </c>
      <c r="D53" s="1" t="s">
        <v>497</v>
      </c>
      <c r="E53" s="3" t="s">
        <v>2</v>
      </c>
      <c r="F53" s="3" t="s">
        <v>553</v>
      </c>
      <c r="G53" s="3" t="s">
        <v>535</v>
      </c>
      <c r="H53" s="3" t="s">
        <v>586</v>
      </c>
      <c r="I53" s="3" t="s">
        <v>586</v>
      </c>
    </row>
    <row r="54" spans="1:9" ht="39.6" customHeight="1">
      <c r="A54" s="1" t="s">
        <v>341</v>
      </c>
      <c r="B54" s="1" t="s">
        <v>57</v>
      </c>
      <c r="C54" s="5" t="s">
        <v>351</v>
      </c>
      <c r="D54" s="1" t="s">
        <v>497</v>
      </c>
      <c r="E54" s="3" t="s">
        <v>2</v>
      </c>
      <c r="F54" s="3" t="s">
        <v>553</v>
      </c>
      <c r="G54" s="3" t="s">
        <v>535</v>
      </c>
      <c r="H54" s="3" t="s">
        <v>586</v>
      </c>
      <c r="I54" s="3" t="s">
        <v>586</v>
      </c>
    </row>
    <row r="55" spans="1:9" ht="39.6" customHeight="1">
      <c r="A55" s="1" t="s">
        <v>341</v>
      </c>
      <c r="B55" s="1" t="s">
        <v>58</v>
      </c>
      <c r="C55" s="5" t="s">
        <v>352</v>
      </c>
      <c r="D55" s="1" t="s">
        <v>497</v>
      </c>
      <c r="E55" s="3" t="s">
        <v>2</v>
      </c>
      <c r="F55" s="3" t="s">
        <v>554</v>
      </c>
      <c r="G55" s="3" t="s">
        <v>535</v>
      </c>
      <c r="H55" s="3" t="s">
        <v>586</v>
      </c>
      <c r="I55" s="3" t="s">
        <v>586</v>
      </c>
    </row>
    <row r="56" spans="1:9" ht="39.6" customHeight="1">
      <c r="A56" s="1" t="s">
        <v>341</v>
      </c>
      <c r="B56" s="1" t="s">
        <v>59</v>
      </c>
      <c r="C56" s="5" t="s">
        <v>243</v>
      </c>
      <c r="D56" s="1" t="s">
        <v>497</v>
      </c>
      <c r="E56" s="3" t="s">
        <v>2</v>
      </c>
      <c r="F56" s="3" t="s">
        <v>553</v>
      </c>
      <c r="G56" s="3" t="s">
        <v>535</v>
      </c>
      <c r="H56" s="3" t="s">
        <v>586</v>
      </c>
      <c r="I56" s="3" t="s">
        <v>586</v>
      </c>
    </row>
    <row r="57" spans="1:9" ht="39.6" customHeight="1">
      <c r="A57" s="1" t="s">
        <v>60</v>
      </c>
      <c r="B57" s="1" t="s">
        <v>61</v>
      </c>
      <c r="C57" s="5" t="s">
        <v>244</v>
      </c>
      <c r="D57" s="1" t="s">
        <v>497</v>
      </c>
      <c r="E57" s="3" t="s">
        <v>2</v>
      </c>
      <c r="F57" s="3" t="s">
        <v>555</v>
      </c>
      <c r="G57" s="3" t="s">
        <v>586</v>
      </c>
      <c r="H57" s="3" t="s">
        <v>523</v>
      </c>
      <c r="I57" s="3" t="s">
        <v>586</v>
      </c>
    </row>
    <row r="58" spans="1:9" ht="39.6" customHeight="1">
      <c r="A58" s="1" t="s">
        <v>60</v>
      </c>
      <c r="B58" s="1" t="s">
        <v>62</v>
      </c>
      <c r="C58" s="5" t="s">
        <v>245</v>
      </c>
      <c r="D58" s="1" t="s">
        <v>497</v>
      </c>
      <c r="E58" s="3" t="s">
        <v>2</v>
      </c>
      <c r="F58" s="3" t="s">
        <v>555</v>
      </c>
      <c r="G58" s="3" t="s">
        <v>586</v>
      </c>
      <c r="H58" s="3" t="s">
        <v>523</v>
      </c>
      <c r="I58" s="3" t="s">
        <v>586</v>
      </c>
    </row>
    <row r="59" spans="1:9" ht="39.6" customHeight="1">
      <c r="A59" s="1" t="s">
        <v>60</v>
      </c>
      <c r="B59" s="1" t="s">
        <v>63</v>
      </c>
      <c r="C59" s="5" t="s">
        <v>246</v>
      </c>
      <c r="D59" s="1" t="s">
        <v>497</v>
      </c>
      <c r="E59" s="3" t="s">
        <v>2</v>
      </c>
      <c r="F59" s="3" t="s">
        <v>553</v>
      </c>
      <c r="G59" s="3" t="s">
        <v>586</v>
      </c>
      <c r="H59" s="3" t="s">
        <v>523</v>
      </c>
      <c r="I59" s="3" t="s">
        <v>586</v>
      </c>
    </row>
    <row r="60" spans="1:9" ht="39.6" customHeight="1">
      <c r="A60" s="1" t="s">
        <v>60</v>
      </c>
      <c r="B60" s="1" t="s">
        <v>64</v>
      </c>
      <c r="C60" s="5" t="s">
        <v>247</v>
      </c>
      <c r="D60" s="1" t="s">
        <v>497</v>
      </c>
      <c r="E60" s="3" t="s">
        <v>2</v>
      </c>
      <c r="F60" s="3" t="s">
        <v>430</v>
      </c>
      <c r="G60" s="3" t="s">
        <v>535</v>
      </c>
      <c r="H60" s="3" t="s">
        <v>586</v>
      </c>
      <c r="I60" s="3" t="s">
        <v>586</v>
      </c>
    </row>
    <row r="61" spans="1:9" ht="39.6" customHeight="1">
      <c r="A61" s="1" t="s">
        <v>60</v>
      </c>
      <c r="B61" s="1" t="s">
        <v>65</v>
      </c>
      <c r="C61" s="5" t="s">
        <v>353</v>
      </c>
      <c r="D61" s="1" t="s">
        <v>497</v>
      </c>
      <c r="E61" s="3" t="s">
        <v>2</v>
      </c>
      <c r="F61" s="3" t="s">
        <v>555</v>
      </c>
      <c r="G61" s="3" t="s">
        <v>586</v>
      </c>
      <c r="H61" s="3" t="s">
        <v>523</v>
      </c>
      <c r="I61" s="3" t="s">
        <v>586</v>
      </c>
    </row>
    <row r="62" spans="1:9" ht="39.6" customHeight="1">
      <c r="A62" s="1" t="s">
        <v>60</v>
      </c>
      <c r="B62" s="1" t="s">
        <v>66</v>
      </c>
      <c r="C62" s="5" t="s">
        <v>354</v>
      </c>
      <c r="D62" s="1" t="s">
        <v>497</v>
      </c>
      <c r="E62" s="3" t="s">
        <v>2</v>
      </c>
      <c r="F62" s="3" t="s">
        <v>555</v>
      </c>
      <c r="G62" s="3" t="s">
        <v>586</v>
      </c>
      <c r="H62" s="3" t="s">
        <v>523</v>
      </c>
      <c r="I62" s="3" t="s">
        <v>586</v>
      </c>
    </row>
    <row r="63" spans="1:9" ht="39.6" customHeight="1">
      <c r="A63" s="1" t="s">
        <v>60</v>
      </c>
      <c r="B63" s="1" t="s">
        <v>67</v>
      </c>
      <c r="C63" s="5" t="s">
        <v>355</v>
      </c>
      <c r="D63" s="1" t="s">
        <v>497</v>
      </c>
      <c r="E63" s="3" t="s">
        <v>2</v>
      </c>
      <c r="F63" s="3" t="s">
        <v>555</v>
      </c>
      <c r="G63" s="3" t="s">
        <v>586</v>
      </c>
      <c r="H63" s="3" t="s">
        <v>523</v>
      </c>
      <c r="I63" s="3" t="s">
        <v>586</v>
      </c>
    </row>
    <row r="64" spans="1:9" ht="39.6" customHeight="1">
      <c r="A64" s="1" t="s">
        <v>60</v>
      </c>
      <c r="B64" s="1" t="s">
        <v>68</v>
      </c>
      <c r="C64" s="5" t="s">
        <v>356</v>
      </c>
      <c r="D64" s="1" t="s">
        <v>497</v>
      </c>
      <c r="E64" s="3" t="s">
        <v>2</v>
      </c>
      <c r="F64" s="3" t="s">
        <v>553</v>
      </c>
      <c r="G64" s="3" t="s">
        <v>586</v>
      </c>
      <c r="H64" s="3" t="s">
        <v>523</v>
      </c>
      <c r="I64" s="3" t="s">
        <v>586</v>
      </c>
    </row>
    <row r="65" spans="1:9" ht="39.6" customHeight="1">
      <c r="A65" s="1" t="s">
        <v>69</v>
      </c>
      <c r="B65" s="1" t="s">
        <v>70</v>
      </c>
      <c r="C65" s="5" t="s">
        <v>248</v>
      </c>
      <c r="D65" s="1" t="s">
        <v>496</v>
      </c>
      <c r="E65" s="3" t="s">
        <v>2</v>
      </c>
      <c r="F65" s="3" t="s">
        <v>553</v>
      </c>
      <c r="G65" s="3" t="s">
        <v>535</v>
      </c>
      <c r="H65" s="3" t="s">
        <v>586</v>
      </c>
      <c r="I65" s="3" t="s">
        <v>586</v>
      </c>
    </row>
    <row r="66" spans="1:9" ht="39.6" customHeight="1">
      <c r="A66" s="1" t="s">
        <v>69</v>
      </c>
      <c r="B66" s="1" t="s">
        <v>71</v>
      </c>
      <c r="C66" s="5" t="s">
        <v>357</v>
      </c>
      <c r="D66" s="1" t="s">
        <v>496</v>
      </c>
      <c r="E66" s="3" t="s">
        <v>2</v>
      </c>
      <c r="F66" s="3" t="s">
        <v>553</v>
      </c>
      <c r="G66" s="3" t="s">
        <v>535</v>
      </c>
      <c r="H66" s="3" t="s">
        <v>586</v>
      </c>
      <c r="I66" s="3" t="s">
        <v>586</v>
      </c>
    </row>
    <row r="67" spans="1:9" ht="39.6" customHeight="1">
      <c r="A67" s="1" t="s">
        <v>69</v>
      </c>
      <c r="B67" s="1" t="s">
        <v>72</v>
      </c>
      <c r="C67" s="5" t="s">
        <v>358</v>
      </c>
      <c r="D67" s="1" t="s">
        <v>496</v>
      </c>
      <c r="E67" s="3" t="s">
        <v>2</v>
      </c>
      <c r="F67" s="3" t="s">
        <v>553</v>
      </c>
      <c r="G67" s="3" t="s">
        <v>586</v>
      </c>
      <c r="H67" s="3" t="s">
        <v>523</v>
      </c>
      <c r="I67" s="3" t="s">
        <v>586</v>
      </c>
    </row>
    <row r="68" spans="1:9" ht="39.6" customHeight="1">
      <c r="A68" s="1" t="s">
        <v>69</v>
      </c>
      <c r="B68" s="1" t="s">
        <v>73</v>
      </c>
      <c r="C68" s="5" t="s">
        <v>359</v>
      </c>
      <c r="D68" s="1" t="s">
        <v>496</v>
      </c>
      <c r="E68" s="3" t="s">
        <v>2</v>
      </c>
      <c r="F68" s="3" t="s">
        <v>553</v>
      </c>
      <c r="G68" s="3" t="s">
        <v>586</v>
      </c>
      <c r="H68" s="3" t="s">
        <v>523</v>
      </c>
      <c r="I68" s="3" t="s">
        <v>586</v>
      </c>
    </row>
    <row r="69" spans="1:9" ht="39.6" customHeight="1">
      <c r="A69" s="1" t="s">
        <v>69</v>
      </c>
      <c r="B69" s="1" t="s">
        <v>74</v>
      </c>
      <c r="C69" s="5" t="s">
        <v>360</v>
      </c>
      <c r="D69" s="1" t="s">
        <v>497</v>
      </c>
      <c r="E69" s="3" t="s">
        <v>2</v>
      </c>
      <c r="F69" s="3" t="s">
        <v>555</v>
      </c>
      <c r="G69" s="3" t="s">
        <v>586</v>
      </c>
      <c r="H69" s="3" t="s">
        <v>523</v>
      </c>
      <c r="I69" s="3" t="s">
        <v>586</v>
      </c>
    </row>
    <row r="70" spans="1:9" ht="39.6" customHeight="1">
      <c r="A70" s="1" t="s">
        <v>69</v>
      </c>
      <c r="B70" s="1" t="s">
        <v>75</v>
      </c>
      <c r="C70" s="5" t="s">
        <v>361</v>
      </c>
      <c r="D70" s="1" t="s">
        <v>497</v>
      </c>
      <c r="E70" s="3" t="s">
        <v>2</v>
      </c>
      <c r="F70" s="3" t="s">
        <v>553</v>
      </c>
      <c r="G70" s="3" t="s">
        <v>586</v>
      </c>
      <c r="H70" s="3" t="s">
        <v>523</v>
      </c>
      <c r="I70" s="3" t="s">
        <v>586</v>
      </c>
    </row>
    <row r="71" spans="1:9" ht="39.6" customHeight="1">
      <c r="A71" s="1" t="s">
        <v>69</v>
      </c>
      <c r="B71" s="1" t="s">
        <v>76</v>
      </c>
      <c r="C71" s="5" t="s">
        <v>362</v>
      </c>
      <c r="D71" s="1" t="s">
        <v>497</v>
      </c>
      <c r="E71" s="3" t="s">
        <v>430</v>
      </c>
      <c r="F71" s="3" t="s">
        <v>430</v>
      </c>
      <c r="G71" s="3" t="s">
        <v>586</v>
      </c>
      <c r="H71" s="3" t="s">
        <v>586</v>
      </c>
      <c r="I71" s="3" t="s">
        <v>586</v>
      </c>
    </row>
    <row r="72" spans="1:9" ht="39.6" customHeight="1">
      <c r="A72" s="1" t="s">
        <v>494</v>
      </c>
      <c r="B72" s="1" t="s">
        <v>77</v>
      </c>
      <c r="C72" s="5" t="s">
        <v>249</v>
      </c>
      <c r="D72" s="1" t="s">
        <v>496</v>
      </c>
      <c r="E72" s="3" t="s">
        <v>430</v>
      </c>
      <c r="F72" s="3" t="s">
        <v>430</v>
      </c>
      <c r="G72" s="3" t="s">
        <v>535</v>
      </c>
      <c r="H72" s="3" t="s">
        <v>586</v>
      </c>
      <c r="I72" s="3" t="s">
        <v>586</v>
      </c>
    </row>
    <row r="73" spans="1:9" ht="39.6" customHeight="1">
      <c r="A73" s="1" t="s">
        <v>494</v>
      </c>
      <c r="B73" s="1" t="s">
        <v>78</v>
      </c>
      <c r="C73" s="5" t="s">
        <v>363</v>
      </c>
      <c r="D73" s="1" t="s">
        <v>497</v>
      </c>
      <c r="E73" s="3" t="s">
        <v>2</v>
      </c>
      <c r="F73" s="3" t="s">
        <v>554</v>
      </c>
      <c r="G73" s="3" t="s">
        <v>535</v>
      </c>
      <c r="H73" s="3" t="s">
        <v>586</v>
      </c>
      <c r="I73" s="3" t="s">
        <v>586</v>
      </c>
    </row>
    <row r="74" spans="1:9" ht="39.6" customHeight="1">
      <c r="A74" s="1" t="s">
        <v>494</v>
      </c>
      <c r="B74" s="1" t="s">
        <v>79</v>
      </c>
      <c r="C74" s="5" t="s">
        <v>250</v>
      </c>
      <c r="D74" s="1" t="s">
        <v>496</v>
      </c>
      <c r="E74" s="3" t="s">
        <v>2</v>
      </c>
      <c r="F74" s="3" t="s">
        <v>554</v>
      </c>
      <c r="G74" s="3" t="s">
        <v>535</v>
      </c>
      <c r="H74" s="3" t="s">
        <v>586</v>
      </c>
      <c r="I74" s="3" t="s">
        <v>586</v>
      </c>
    </row>
    <row r="75" spans="1:9" ht="39.6" customHeight="1">
      <c r="A75" s="1" t="s">
        <v>494</v>
      </c>
      <c r="B75" s="1" t="s">
        <v>80</v>
      </c>
      <c r="C75" s="5" t="s">
        <v>251</v>
      </c>
      <c r="D75" s="1" t="s">
        <v>496</v>
      </c>
      <c r="E75" s="3" t="s">
        <v>430</v>
      </c>
      <c r="F75" s="3" t="s">
        <v>430</v>
      </c>
      <c r="G75" s="3" t="s">
        <v>535</v>
      </c>
      <c r="H75" s="3" t="s">
        <v>586</v>
      </c>
      <c r="I75" s="3" t="s">
        <v>586</v>
      </c>
    </row>
    <row r="76" spans="1:9" ht="39.6" customHeight="1">
      <c r="A76" s="1" t="s">
        <v>494</v>
      </c>
      <c r="B76" s="1" t="s">
        <v>81</v>
      </c>
      <c r="C76" s="5" t="s">
        <v>364</v>
      </c>
      <c r="D76" s="1" t="s">
        <v>497</v>
      </c>
      <c r="E76" s="3" t="s">
        <v>2</v>
      </c>
      <c r="F76" s="3" t="s">
        <v>587</v>
      </c>
      <c r="G76" s="3" t="s">
        <v>535</v>
      </c>
      <c r="H76" s="3" t="s">
        <v>586</v>
      </c>
      <c r="I76" s="3" t="s">
        <v>586</v>
      </c>
    </row>
    <row r="77" spans="1:9" ht="39.6" customHeight="1">
      <c r="A77" s="1" t="s">
        <v>494</v>
      </c>
      <c r="B77" s="1" t="s">
        <v>82</v>
      </c>
      <c r="C77" s="5" t="s">
        <v>252</v>
      </c>
      <c r="D77" s="1" t="s">
        <v>496</v>
      </c>
      <c r="E77" s="3" t="s">
        <v>2</v>
      </c>
      <c r="F77" s="3" t="s">
        <v>587</v>
      </c>
      <c r="G77" s="3" t="s">
        <v>535</v>
      </c>
      <c r="H77" s="3" t="s">
        <v>586</v>
      </c>
      <c r="I77" s="3" t="s">
        <v>586</v>
      </c>
    </row>
    <row r="78" spans="1:9" ht="39.6" customHeight="1">
      <c r="A78" s="1" t="s">
        <v>494</v>
      </c>
      <c r="B78" s="1" t="s">
        <v>83</v>
      </c>
      <c r="C78" s="5" t="s">
        <v>365</v>
      </c>
      <c r="D78" s="1" t="s">
        <v>496</v>
      </c>
      <c r="E78" s="3" t="s">
        <v>430</v>
      </c>
      <c r="F78" s="3" t="s">
        <v>554</v>
      </c>
      <c r="G78" s="3" t="s">
        <v>535</v>
      </c>
      <c r="H78" s="3" t="s">
        <v>586</v>
      </c>
      <c r="I78" s="3" t="s">
        <v>586</v>
      </c>
    </row>
    <row r="79" spans="1:9" ht="39.6" customHeight="1">
      <c r="A79" s="1" t="s">
        <v>84</v>
      </c>
      <c r="B79" s="1" t="s">
        <v>85</v>
      </c>
      <c r="C79" s="5" t="s">
        <v>253</v>
      </c>
      <c r="D79" s="1" t="s">
        <v>497</v>
      </c>
      <c r="E79" s="3" t="s">
        <v>2</v>
      </c>
      <c r="F79" s="3" t="s">
        <v>554</v>
      </c>
      <c r="G79" s="3" t="s">
        <v>586</v>
      </c>
      <c r="H79" s="3" t="s">
        <v>523</v>
      </c>
      <c r="I79" s="3" t="s">
        <v>586</v>
      </c>
    </row>
    <row r="80" spans="1:9" ht="39.6" customHeight="1">
      <c r="A80" s="1" t="s">
        <v>84</v>
      </c>
      <c r="B80" s="1" t="s">
        <v>86</v>
      </c>
      <c r="C80" s="5" t="s">
        <v>366</v>
      </c>
      <c r="D80" s="1" t="s">
        <v>496</v>
      </c>
      <c r="E80" s="3" t="s">
        <v>430</v>
      </c>
      <c r="F80" s="3" t="s">
        <v>430</v>
      </c>
      <c r="G80" s="3" t="s">
        <v>535</v>
      </c>
      <c r="H80" s="3" t="s">
        <v>586</v>
      </c>
      <c r="I80" s="3" t="s">
        <v>586</v>
      </c>
    </row>
    <row r="81" spans="1:9" ht="39.6" customHeight="1">
      <c r="A81" s="1" t="s">
        <v>84</v>
      </c>
      <c r="B81" s="1" t="s">
        <v>87</v>
      </c>
      <c r="C81" s="5" t="s">
        <v>367</v>
      </c>
      <c r="D81" s="1" t="s">
        <v>496</v>
      </c>
      <c r="E81" s="3" t="s">
        <v>430</v>
      </c>
      <c r="F81" s="3" t="s">
        <v>554</v>
      </c>
      <c r="G81" s="3" t="s">
        <v>535</v>
      </c>
      <c r="H81" s="3" t="s">
        <v>586</v>
      </c>
      <c r="I81" s="3" t="s">
        <v>586</v>
      </c>
    </row>
    <row r="82" spans="1:9" ht="39.6" customHeight="1">
      <c r="A82" s="1" t="s">
        <v>84</v>
      </c>
      <c r="B82" s="1" t="s">
        <v>88</v>
      </c>
      <c r="C82" s="5" t="s">
        <v>368</v>
      </c>
      <c r="D82" s="1" t="s">
        <v>496</v>
      </c>
      <c r="E82" s="3" t="s">
        <v>430</v>
      </c>
      <c r="F82" s="3" t="s">
        <v>554</v>
      </c>
      <c r="G82" s="3" t="s">
        <v>535</v>
      </c>
      <c r="H82" s="3" t="s">
        <v>586</v>
      </c>
      <c r="I82" s="3" t="s">
        <v>586</v>
      </c>
    </row>
    <row r="83" spans="1:9" ht="39.6" customHeight="1">
      <c r="A83" s="1" t="s">
        <v>84</v>
      </c>
      <c r="B83" s="1" t="s">
        <v>89</v>
      </c>
      <c r="C83" s="5" t="s">
        <v>369</v>
      </c>
      <c r="D83" s="1" t="s">
        <v>496</v>
      </c>
      <c r="E83" s="3" t="s">
        <v>430</v>
      </c>
      <c r="F83" s="3" t="s">
        <v>554</v>
      </c>
      <c r="G83" s="3" t="s">
        <v>535</v>
      </c>
      <c r="H83" s="3" t="s">
        <v>586</v>
      </c>
      <c r="I83" s="3" t="s">
        <v>586</v>
      </c>
    </row>
    <row r="84" spans="1:9" ht="39.6" customHeight="1">
      <c r="A84" s="1" t="s">
        <v>84</v>
      </c>
      <c r="B84" s="1" t="s">
        <v>90</v>
      </c>
      <c r="C84" s="5" t="s">
        <v>370</v>
      </c>
      <c r="D84" s="1" t="s">
        <v>496</v>
      </c>
      <c r="E84" s="3" t="s">
        <v>430</v>
      </c>
      <c r="F84" s="3" t="s">
        <v>554</v>
      </c>
      <c r="G84" s="3" t="s">
        <v>535</v>
      </c>
      <c r="H84" s="3" t="s">
        <v>586</v>
      </c>
      <c r="I84" s="3" t="s">
        <v>586</v>
      </c>
    </row>
    <row r="85" spans="1:9" ht="39.6" customHeight="1">
      <c r="A85" s="1" t="s">
        <v>84</v>
      </c>
      <c r="B85" s="1" t="s">
        <v>91</v>
      </c>
      <c r="C85" s="5" t="s">
        <v>371</v>
      </c>
      <c r="D85" s="1" t="s">
        <v>497</v>
      </c>
      <c r="E85" s="3" t="s">
        <v>2</v>
      </c>
      <c r="F85" s="3" t="s">
        <v>554</v>
      </c>
      <c r="G85" s="3" t="s">
        <v>535</v>
      </c>
      <c r="H85" s="3" t="s">
        <v>586</v>
      </c>
      <c r="I85" s="3" t="s">
        <v>586</v>
      </c>
    </row>
    <row r="86" spans="1:9" ht="39.6" customHeight="1">
      <c r="A86" s="1" t="s">
        <v>84</v>
      </c>
      <c r="B86" s="2" t="s">
        <v>92</v>
      </c>
      <c r="C86" s="5" t="s">
        <v>372</v>
      </c>
      <c r="D86" s="1" t="s">
        <v>497</v>
      </c>
      <c r="E86" s="3" t="s">
        <v>2</v>
      </c>
      <c r="F86" s="3" t="s">
        <v>554</v>
      </c>
      <c r="G86" s="3" t="s">
        <v>535</v>
      </c>
      <c r="H86" s="3" t="s">
        <v>586</v>
      </c>
      <c r="I86" s="3" t="s">
        <v>586</v>
      </c>
    </row>
    <row r="87" spans="1:9" ht="39.6" customHeight="1">
      <c r="A87" s="1" t="s">
        <v>84</v>
      </c>
      <c r="B87" s="2" t="s">
        <v>93</v>
      </c>
      <c r="C87" s="5" t="s">
        <v>373</v>
      </c>
      <c r="D87" s="1" t="s">
        <v>497</v>
      </c>
      <c r="E87" s="3" t="s">
        <v>2</v>
      </c>
      <c r="F87" s="3" t="s">
        <v>554</v>
      </c>
      <c r="G87" s="3" t="s">
        <v>535</v>
      </c>
      <c r="H87" s="3" t="s">
        <v>586</v>
      </c>
      <c r="I87" s="3" t="s">
        <v>586</v>
      </c>
    </row>
    <row r="88" spans="1:9" ht="39.6" customHeight="1">
      <c r="A88" s="1" t="s">
        <v>84</v>
      </c>
      <c r="B88" s="2" t="s">
        <v>94</v>
      </c>
      <c r="C88" s="5" t="s">
        <v>374</v>
      </c>
      <c r="D88" s="1" t="s">
        <v>497</v>
      </c>
      <c r="E88" s="3" t="s">
        <v>430</v>
      </c>
      <c r="F88" s="3" t="s">
        <v>554</v>
      </c>
      <c r="G88" s="3" t="s">
        <v>586</v>
      </c>
      <c r="H88" s="3" t="s">
        <v>586</v>
      </c>
      <c r="I88" s="3" t="s">
        <v>586</v>
      </c>
    </row>
    <row r="89" spans="1:9" ht="39.6" customHeight="1">
      <c r="A89" s="1" t="s">
        <v>95</v>
      </c>
      <c r="B89" s="2" t="s">
        <v>96</v>
      </c>
      <c r="C89" s="5" t="s">
        <v>254</v>
      </c>
      <c r="D89" s="1" t="s">
        <v>496</v>
      </c>
      <c r="E89" s="3" t="s">
        <v>430</v>
      </c>
      <c r="F89" s="3" t="s">
        <v>430</v>
      </c>
      <c r="G89" s="3" t="s">
        <v>586</v>
      </c>
      <c r="H89" s="3" t="s">
        <v>586</v>
      </c>
      <c r="I89" s="3" t="s">
        <v>586</v>
      </c>
    </row>
    <row r="90" spans="1:9" ht="39.6" customHeight="1">
      <c r="A90" s="1" t="s">
        <v>95</v>
      </c>
      <c r="B90" s="2" t="s">
        <v>97</v>
      </c>
      <c r="C90" s="5" t="s">
        <v>255</v>
      </c>
      <c r="D90" s="1" t="s">
        <v>496</v>
      </c>
      <c r="E90" s="3" t="s">
        <v>430</v>
      </c>
      <c r="F90" s="3" t="s">
        <v>430</v>
      </c>
      <c r="G90" s="3" t="s">
        <v>586</v>
      </c>
      <c r="H90" s="3" t="s">
        <v>586</v>
      </c>
      <c r="I90" s="3" t="s">
        <v>586</v>
      </c>
    </row>
    <row r="91" spans="1:9" ht="39.6" customHeight="1">
      <c r="A91" s="1" t="s">
        <v>95</v>
      </c>
      <c r="B91" s="2" t="s">
        <v>98</v>
      </c>
      <c r="C91" s="5" t="s">
        <v>256</v>
      </c>
      <c r="D91" s="1" t="s">
        <v>497</v>
      </c>
      <c r="E91" s="3" t="s">
        <v>2</v>
      </c>
      <c r="F91" s="3" t="s">
        <v>553</v>
      </c>
      <c r="G91" s="3" t="s">
        <v>586</v>
      </c>
      <c r="H91" s="3" t="s">
        <v>586</v>
      </c>
      <c r="I91" s="3" t="s">
        <v>586</v>
      </c>
    </row>
    <row r="92" spans="1:9" ht="39.6" customHeight="1">
      <c r="A92" s="1" t="s">
        <v>95</v>
      </c>
      <c r="B92" s="2" t="s">
        <v>99</v>
      </c>
      <c r="C92" s="5" t="s">
        <v>257</v>
      </c>
      <c r="D92" s="1" t="s">
        <v>497</v>
      </c>
      <c r="E92" s="3" t="s">
        <v>2</v>
      </c>
      <c r="F92" s="3" t="s">
        <v>553</v>
      </c>
      <c r="G92" s="3" t="s">
        <v>586</v>
      </c>
      <c r="H92" s="3" t="s">
        <v>586</v>
      </c>
      <c r="I92" s="3" t="s">
        <v>586</v>
      </c>
    </row>
    <row r="93" spans="1:9" ht="39.6" customHeight="1">
      <c r="A93" s="1" t="s">
        <v>95</v>
      </c>
      <c r="B93" s="2" t="s">
        <v>100</v>
      </c>
      <c r="C93" s="5" t="s">
        <v>258</v>
      </c>
      <c r="D93" s="1" t="s">
        <v>496</v>
      </c>
      <c r="E93" s="3" t="s">
        <v>2</v>
      </c>
      <c r="F93" s="3" t="s">
        <v>553</v>
      </c>
      <c r="G93" s="3" t="s">
        <v>586</v>
      </c>
      <c r="H93" s="3" t="s">
        <v>586</v>
      </c>
      <c r="I93" s="3" t="s">
        <v>586</v>
      </c>
    </row>
    <row r="94" spans="1:9" ht="39.6" customHeight="1">
      <c r="A94" s="1" t="s">
        <v>95</v>
      </c>
      <c r="B94" s="2" t="s">
        <v>101</v>
      </c>
      <c r="C94" s="5" t="s">
        <v>259</v>
      </c>
      <c r="D94" s="1" t="s">
        <v>496</v>
      </c>
      <c r="E94" s="3" t="s">
        <v>2</v>
      </c>
      <c r="F94" s="3" t="s">
        <v>553</v>
      </c>
      <c r="G94" s="3" t="s">
        <v>586</v>
      </c>
      <c r="H94" s="3" t="s">
        <v>586</v>
      </c>
      <c r="I94" s="3" t="s">
        <v>586</v>
      </c>
    </row>
    <row r="95" spans="1:9" ht="39.6" customHeight="1">
      <c r="A95" s="1" t="s">
        <v>95</v>
      </c>
      <c r="B95" s="2" t="s">
        <v>102</v>
      </c>
      <c r="C95" s="5" t="s">
        <v>260</v>
      </c>
      <c r="D95" s="1" t="s">
        <v>497</v>
      </c>
      <c r="E95" s="3" t="s">
        <v>2</v>
      </c>
      <c r="F95" s="3" t="s">
        <v>553</v>
      </c>
      <c r="G95" s="3" t="s">
        <v>586</v>
      </c>
      <c r="H95" s="3" t="s">
        <v>586</v>
      </c>
      <c r="I95" s="3" t="s">
        <v>586</v>
      </c>
    </row>
    <row r="96" spans="1:9" ht="39.6" customHeight="1">
      <c r="A96" s="1" t="s">
        <v>95</v>
      </c>
      <c r="B96" s="2" t="s">
        <v>103</v>
      </c>
      <c r="C96" s="5" t="s">
        <v>261</v>
      </c>
      <c r="D96" s="1" t="s">
        <v>496</v>
      </c>
      <c r="E96" s="3" t="s">
        <v>2</v>
      </c>
      <c r="F96" s="3" t="s">
        <v>553</v>
      </c>
      <c r="G96" s="3" t="s">
        <v>586</v>
      </c>
      <c r="H96" s="3" t="s">
        <v>586</v>
      </c>
      <c r="I96" s="3" t="s">
        <v>586</v>
      </c>
    </row>
    <row r="97" spans="1:9" ht="39.6" customHeight="1">
      <c r="A97" s="1" t="s">
        <v>95</v>
      </c>
      <c r="B97" s="2" t="s">
        <v>104</v>
      </c>
      <c r="C97" s="5" t="s">
        <v>262</v>
      </c>
      <c r="D97" s="1" t="s">
        <v>496</v>
      </c>
      <c r="E97" s="3" t="s">
        <v>2</v>
      </c>
      <c r="F97" s="3" t="s">
        <v>553</v>
      </c>
      <c r="G97" s="3" t="s">
        <v>586</v>
      </c>
      <c r="H97" s="3" t="s">
        <v>586</v>
      </c>
      <c r="I97" s="3" t="s">
        <v>586</v>
      </c>
    </row>
    <row r="98" spans="1:9" ht="39.6" customHeight="1">
      <c r="A98" s="1" t="s">
        <v>105</v>
      </c>
      <c r="B98" s="2" t="s">
        <v>106</v>
      </c>
      <c r="C98" s="5" t="s">
        <v>263</v>
      </c>
      <c r="D98" s="1" t="s">
        <v>496</v>
      </c>
      <c r="E98" s="3" t="s">
        <v>430</v>
      </c>
      <c r="F98" s="3" t="s">
        <v>430</v>
      </c>
      <c r="G98" s="3" t="s">
        <v>586</v>
      </c>
      <c r="H98" s="3" t="s">
        <v>586</v>
      </c>
      <c r="I98" s="3" t="s">
        <v>534</v>
      </c>
    </row>
    <row r="99" spans="1:9" ht="39.6" customHeight="1">
      <c r="A99" s="1" t="s">
        <v>105</v>
      </c>
      <c r="B99" s="2" t="s">
        <v>107</v>
      </c>
      <c r="C99" s="5" t="s">
        <v>375</v>
      </c>
      <c r="D99" s="1" t="s">
        <v>496</v>
      </c>
      <c r="E99" s="3" t="s">
        <v>430</v>
      </c>
      <c r="F99" s="3" t="s">
        <v>430</v>
      </c>
      <c r="G99" s="3" t="s">
        <v>586</v>
      </c>
      <c r="H99" s="3" t="s">
        <v>586</v>
      </c>
      <c r="I99" s="3" t="s">
        <v>534</v>
      </c>
    </row>
    <row r="100" spans="1:9" ht="39.6" customHeight="1">
      <c r="A100" s="1" t="s">
        <v>105</v>
      </c>
      <c r="B100" s="2" t="s">
        <v>108</v>
      </c>
      <c r="C100" s="5" t="s">
        <v>376</v>
      </c>
      <c r="D100" s="1" t="s">
        <v>496</v>
      </c>
      <c r="E100" s="3" t="s">
        <v>430</v>
      </c>
      <c r="F100" s="3" t="s">
        <v>430</v>
      </c>
      <c r="G100" s="3" t="s">
        <v>586</v>
      </c>
      <c r="H100" s="3" t="s">
        <v>586</v>
      </c>
      <c r="I100" s="3" t="s">
        <v>534</v>
      </c>
    </row>
    <row r="101" spans="1:9" ht="39.6" customHeight="1">
      <c r="A101" s="1" t="s">
        <v>105</v>
      </c>
      <c r="B101" s="2" t="s">
        <v>109</v>
      </c>
      <c r="C101" s="5" t="s">
        <v>377</v>
      </c>
      <c r="D101" s="1" t="s">
        <v>496</v>
      </c>
      <c r="E101" s="3" t="s">
        <v>430</v>
      </c>
      <c r="F101" s="3" t="s">
        <v>430</v>
      </c>
      <c r="G101" s="3" t="s">
        <v>586</v>
      </c>
      <c r="H101" s="3" t="s">
        <v>586</v>
      </c>
      <c r="I101" s="3" t="s">
        <v>534</v>
      </c>
    </row>
    <row r="102" spans="1:9" ht="39.6" customHeight="1">
      <c r="A102" s="1" t="s">
        <v>105</v>
      </c>
      <c r="B102" s="2" t="s">
        <v>110</v>
      </c>
      <c r="C102" s="5" t="s">
        <v>264</v>
      </c>
      <c r="D102" s="1" t="s">
        <v>496</v>
      </c>
      <c r="E102" s="3" t="s">
        <v>430</v>
      </c>
      <c r="F102" s="3" t="s">
        <v>430</v>
      </c>
      <c r="G102" s="3" t="s">
        <v>586</v>
      </c>
      <c r="H102" s="3" t="s">
        <v>586</v>
      </c>
      <c r="I102" s="3" t="s">
        <v>534</v>
      </c>
    </row>
    <row r="103" spans="1:9" ht="39.6" customHeight="1">
      <c r="A103" s="1" t="s">
        <v>105</v>
      </c>
      <c r="B103" s="2" t="s">
        <v>111</v>
      </c>
      <c r="C103" s="5" t="s">
        <v>265</v>
      </c>
      <c r="D103" s="1" t="s">
        <v>496</v>
      </c>
      <c r="E103" s="3" t="s">
        <v>430</v>
      </c>
      <c r="F103" s="3" t="s">
        <v>430</v>
      </c>
      <c r="G103" s="3" t="s">
        <v>586</v>
      </c>
      <c r="H103" s="3" t="s">
        <v>586</v>
      </c>
      <c r="I103" s="3" t="s">
        <v>534</v>
      </c>
    </row>
    <row r="104" spans="1:9" ht="39.6" customHeight="1">
      <c r="A104" s="1" t="s">
        <v>105</v>
      </c>
      <c r="B104" s="2" t="s">
        <v>112</v>
      </c>
      <c r="C104" s="5" t="s">
        <v>378</v>
      </c>
      <c r="D104" s="1" t="s">
        <v>496</v>
      </c>
      <c r="E104" s="3" t="s">
        <v>430</v>
      </c>
      <c r="F104" s="3" t="s">
        <v>430</v>
      </c>
      <c r="G104" s="3" t="s">
        <v>586</v>
      </c>
      <c r="H104" s="3" t="s">
        <v>586</v>
      </c>
      <c r="I104" s="3" t="s">
        <v>534</v>
      </c>
    </row>
    <row r="105" spans="1:9" ht="39.6" customHeight="1">
      <c r="A105" s="1" t="s">
        <v>105</v>
      </c>
      <c r="B105" s="2" t="s">
        <v>113</v>
      </c>
      <c r="C105" s="5" t="s">
        <v>266</v>
      </c>
      <c r="D105" s="1" t="s">
        <v>496</v>
      </c>
      <c r="E105" s="3" t="s">
        <v>430</v>
      </c>
      <c r="F105" s="3" t="s">
        <v>430</v>
      </c>
      <c r="G105" s="3" t="s">
        <v>586</v>
      </c>
      <c r="H105" s="3" t="s">
        <v>586</v>
      </c>
      <c r="I105" s="3" t="s">
        <v>534</v>
      </c>
    </row>
    <row r="106" spans="1:9" ht="39.6" customHeight="1">
      <c r="A106" s="1" t="s">
        <v>105</v>
      </c>
      <c r="B106" s="2" t="s">
        <v>114</v>
      </c>
      <c r="C106" s="5" t="s">
        <v>267</v>
      </c>
      <c r="D106" s="1" t="s">
        <v>496</v>
      </c>
      <c r="E106" s="3" t="s">
        <v>430</v>
      </c>
      <c r="F106" s="3" t="s">
        <v>430</v>
      </c>
      <c r="G106" s="3" t="s">
        <v>586</v>
      </c>
      <c r="H106" s="3" t="s">
        <v>586</v>
      </c>
      <c r="I106" s="3" t="s">
        <v>534</v>
      </c>
    </row>
    <row r="107" spans="1:9" ht="39.6" customHeight="1">
      <c r="A107" s="1" t="s">
        <v>105</v>
      </c>
      <c r="B107" s="2" t="s">
        <v>115</v>
      </c>
      <c r="C107" s="5" t="s">
        <v>379</v>
      </c>
      <c r="D107" s="1" t="s">
        <v>496</v>
      </c>
      <c r="E107" s="3" t="s">
        <v>430</v>
      </c>
      <c r="F107" s="3" t="s">
        <v>430</v>
      </c>
      <c r="G107" s="3" t="s">
        <v>586</v>
      </c>
      <c r="H107" s="3" t="s">
        <v>586</v>
      </c>
      <c r="I107" s="3" t="s">
        <v>534</v>
      </c>
    </row>
    <row r="108" spans="1:9" ht="39.6" customHeight="1">
      <c r="A108" s="1" t="s">
        <v>116</v>
      </c>
      <c r="B108" s="2" t="s">
        <v>117</v>
      </c>
      <c r="C108" s="5" t="s">
        <v>268</v>
      </c>
      <c r="D108" s="1" t="s">
        <v>496</v>
      </c>
      <c r="E108" s="3" t="s">
        <v>430</v>
      </c>
      <c r="F108" s="3" t="s">
        <v>430</v>
      </c>
      <c r="G108" s="3" t="s">
        <v>586</v>
      </c>
      <c r="H108" s="3" t="s">
        <v>586</v>
      </c>
      <c r="I108" s="3" t="s">
        <v>534</v>
      </c>
    </row>
    <row r="109" spans="1:9" ht="39.6" customHeight="1">
      <c r="A109" s="1" t="s">
        <v>116</v>
      </c>
      <c r="B109" s="2" t="s">
        <v>118</v>
      </c>
      <c r="C109" s="5" t="s">
        <v>269</v>
      </c>
      <c r="D109" s="1" t="s">
        <v>496</v>
      </c>
      <c r="E109" s="3" t="s">
        <v>430</v>
      </c>
      <c r="F109" s="3" t="s">
        <v>430</v>
      </c>
      <c r="G109" s="3" t="s">
        <v>586</v>
      </c>
      <c r="H109" s="3" t="s">
        <v>586</v>
      </c>
      <c r="I109" s="3" t="s">
        <v>534</v>
      </c>
    </row>
    <row r="110" spans="1:9" ht="39.6" customHeight="1">
      <c r="A110" s="1" t="s">
        <v>116</v>
      </c>
      <c r="B110" s="2" t="s">
        <v>119</v>
      </c>
      <c r="C110" s="5" t="s">
        <v>270</v>
      </c>
      <c r="D110" s="1" t="s">
        <v>496</v>
      </c>
      <c r="E110" s="3" t="s">
        <v>430</v>
      </c>
      <c r="F110" s="3" t="s">
        <v>430</v>
      </c>
      <c r="G110" s="3" t="s">
        <v>586</v>
      </c>
      <c r="H110" s="3" t="s">
        <v>586</v>
      </c>
      <c r="I110" s="3" t="s">
        <v>534</v>
      </c>
    </row>
    <row r="111" spans="1:9" ht="39.6" customHeight="1">
      <c r="A111" s="1" t="s">
        <v>116</v>
      </c>
      <c r="B111" s="2" t="s">
        <v>120</v>
      </c>
      <c r="C111" s="5" t="s">
        <v>271</v>
      </c>
      <c r="D111" s="1" t="s">
        <v>496</v>
      </c>
      <c r="E111" s="3" t="s">
        <v>430</v>
      </c>
      <c r="F111" s="3" t="s">
        <v>430</v>
      </c>
      <c r="G111" s="3" t="s">
        <v>586</v>
      </c>
      <c r="H111" s="3" t="s">
        <v>586</v>
      </c>
      <c r="I111" s="3" t="s">
        <v>534</v>
      </c>
    </row>
    <row r="112" spans="1:9" ht="39.6" customHeight="1">
      <c r="A112" s="1" t="s">
        <v>116</v>
      </c>
      <c r="B112" s="2" t="s">
        <v>121</v>
      </c>
      <c r="C112" s="5" t="s">
        <v>272</v>
      </c>
      <c r="D112" s="1" t="s">
        <v>496</v>
      </c>
      <c r="E112" s="3" t="s">
        <v>430</v>
      </c>
      <c r="F112" s="3" t="s">
        <v>430</v>
      </c>
      <c r="G112" s="3" t="s">
        <v>586</v>
      </c>
      <c r="H112" s="3" t="s">
        <v>586</v>
      </c>
      <c r="I112" s="3" t="s">
        <v>534</v>
      </c>
    </row>
    <row r="113" spans="1:9" ht="39.6" customHeight="1">
      <c r="A113" s="1" t="s">
        <v>116</v>
      </c>
      <c r="B113" s="2" t="s">
        <v>122</v>
      </c>
      <c r="C113" s="5" t="s">
        <v>273</v>
      </c>
      <c r="D113" s="1" t="s">
        <v>496</v>
      </c>
      <c r="E113" s="3" t="s">
        <v>430</v>
      </c>
      <c r="F113" s="3" t="s">
        <v>430</v>
      </c>
      <c r="G113" s="3" t="s">
        <v>586</v>
      </c>
      <c r="H113" s="3" t="s">
        <v>586</v>
      </c>
      <c r="I113" s="3" t="s">
        <v>534</v>
      </c>
    </row>
    <row r="114" spans="1:9" ht="39.6" customHeight="1">
      <c r="A114" s="1" t="s">
        <v>116</v>
      </c>
      <c r="B114" s="2" t="s">
        <v>123</v>
      </c>
      <c r="C114" s="5" t="s">
        <v>274</v>
      </c>
      <c r="D114" s="1" t="s">
        <v>496</v>
      </c>
      <c r="E114" s="3" t="s">
        <v>430</v>
      </c>
      <c r="F114" s="3" t="s">
        <v>430</v>
      </c>
      <c r="G114" s="3" t="s">
        <v>586</v>
      </c>
      <c r="H114" s="3" t="s">
        <v>586</v>
      </c>
      <c r="I114" s="3" t="s">
        <v>534</v>
      </c>
    </row>
    <row r="115" spans="1:9" ht="39.6" customHeight="1">
      <c r="A115" s="1" t="s">
        <v>124</v>
      </c>
      <c r="B115" s="1" t="s">
        <v>125</v>
      </c>
      <c r="C115" s="5" t="s">
        <v>275</v>
      </c>
      <c r="D115" s="1" t="s">
        <v>496</v>
      </c>
      <c r="E115" s="3" t="s">
        <v>430</v>
      </c>
      <c r="F115" s="3" t="s">
        <v>430</v>
      </c>
      <c r="G115" s="3" t="s">
        <v>535</v>
      </c>
      <c r="H115" s="3" t="s">
        <v>586</v>
      </c>
      <c r="I115" s="3" t="s">
        <v>586</v>
      </c>
    </row>
    <row r="116" spans="1:9" ht="39.6" customHeight="1">
      <c r="A116" s="1" t="s">
        <v>124</v>
      </c>
      <c r="B116" s="1" t="s">
        <v>126</v>
      </c>
      <c r="C116" s="5" t="s">
        <v>380</v>
      </c>
      <c r="D116" s="1" t="s">
        <v>497</v>
      </c>
      <c r="E116" s="3" t="s">
        <v>2</v>
      </c>
      <c r="F116" s="3" t="s">
        <v>554</v>
      </c>
      <c r="G116" s="3" t="s">
        <v>535</v>
      </c>
      <c r="H116" s="3" t="s">
        <v>586</v>
      </c>
      <c r="I116" s="3" t="s">
        <v>586</v>
      </c>
    </row>
    <row r="117" spans="1:9" ht="39.6" customHeight="1">
      <c r="A117" s="1" t="s">
        <v>124</v>
      </c>
      <c r="B117" s="1" t="s">
        <v>127</v>
      </c>
      <c r="C117" s="5" t="s">
        <v>381</v>
      </c>
      <c r="D117" s="1" t="s">
        <v>496</v>
      </c>
      <c r="E117" s="3" t="s">
        <v>430</v>
      </c>
      <c r="F117" s="3" t="s">
        <v>430</v>
      </c>
      <c r="G117" s="3" t="s">
        <v>586</v>
      </c>
      <c r="H117" s="3" t="s">
        <v>586</v>
      </c>
      <c r="I117" s="3" t="s">
        <v>586</v>
      </c>
    </row>
    <row r="118" spans="1:9" ht="39.6" customHeight="1">
      <c r="A118" s="1" t="s">
        <v>124</v>
      </c>
      <c r="B118" s="1" t="s">
        <v>128</v>
      </c>
      <c r="C118" s="5" t="s">
        <v>382</v>
      </c>
      <c r="D118" s="1" t="s">
        <v>497</v>
      </c>
      <c r="E118" s="3" t="s">
        <v>430</v>
      </c>
      <c r="F118" s="3" t="s">
        <v>430</v>
      </c>
      <c r="G118" s="3" t="s">
        <v>586</v>
      </c>
      <c r="H118" s="3" t="s">
        <v>523</v>
      </c>
      <c r="I118" s="3" t="s">
        <v>586</v>
      </c>
    </row>
    <row r="119" spans="1:9" ht="39.6" customHeight="1">
      <c r="A119" s="1" t="s">
        <v>124</v>
      </c>
      <c r="B119" s="1" t="s">
        <v>129</v>
      </c>
      <c r="C119" s="5" t="s">
        <v>383</v>
      </c>
      <c r="D119" s="1" t="s">
        <v>496</v>
      </c>
      <c r="E119" s="3" t="s">
        <v>430</v>
      </c>
      <c r="F119" s="3" t="s">
        <v>430</v>
      </c>
      <c r="G119" s="3" t="s">
        <v>586</v>
      </c>
      <c r="H119" s="3" t="s">
        <v>586</v>
      </c>
      <c r="I119" s="3" t="s">
        <v>586</v>
      </c>
    </row>
    <row r="120" spans="1:9" ht="39.6" customHeight="1">
      <c r="A120" s="1" t="s">
        <v>124</v>
      </c>
      <c r="B120" s="1" t="s">
        <v>130</v>
      </c>
      <c r="C120" s="5" t="s">
        <v>384</v>
      </c>
      <c r="D120" s="1" t="s">
        <v>496</v>
      </c>
      <c r="E120" s="3" t="s">
        <v>2</v>
      </c>
      <c r="F120" s="3" t="s">
        <v>2</v>
      </c>
      <c r="G120" s="3" t="s">
        <v>586</v>
      </c>
      <c r="H120" s="3" t="s">
        <v>586</v>
      </c>
      <c r="I120" s="3" t="s">
        <v>586</v>
      </c>
    </row>
    <row r="121" spans="1:9" ht="39.6" customHeight="1">
      <c r="A121" s="1" t="s">
        <v>124</v>
      </c>
      <c r="B121" s="1" t="s">
        <v>131</v>
      </c>
      <c r="C121" s="5" t="s">
        <v>385</v>
      </c>
      <c r="D121" s="1" t="s">
        <v>496</v>
      </c>
      <c r="E121" s="3" t="s">
        <v>430</v>
      </c>
      <c r="F121" s="3" t="s">
        <v>430</v>
      </c>
      <c r="G121" s="3" t="s">
        <v>586</v>
      </c>
      <c r="H121" s="3" t="s">
        <v>586</v>
      </c>
      <c r="I121" s="3" t="s">
        <v>586</v>
      </c>
    </row>
    <row r="122" spans="1:9" ht="39.6" customHeight="1">
      <c r="A122" s="1" t="s">
        <v>132</v>
      </c>
      <c r="B122" s="1" t="s">
        <v>133</v>
      </c>
      <c r="C122" s="5" t="s">
        <v>386</v>
      </c>
      <c r="D122" s="1" t="s">
        <v>496</v>
      </c>
      <c r="E122" s="3" t="s">
        <v>2</v>
      </c>
      <c r="F122" s="3" t="s">
        <v>2</v>
      </c>
      <c r="G122" s="3" t="s">
        <v>586</v>
      </c>
      <c r="H122" s="3" t="s">
        <v>586</v>
      </c>
      <c r="I122" s="3" t="s">
        <v>534</v>
      </c>
    </row>
    <row r="123" spans="1:9" ht="39.6" customHeight="1">
      <c r="A123" s="1" t="s">
        <v>132</v>
      </c>
      <c r="B123" s="1" t="s">
        <v>134</v>
      </c>
      <c r="C123" s="5" t="s">
        <v>276</v>
      </c>
      <c r="D123" s="1" t="s">
        <v>496</v>
      </c>
      <c r="E123" s="3" t="s">
        <v>430</v>
      </c>
      <c r="F123" s="3" t="s">
        <v>430</v>
      </c>
      <c r="G123" s="3" t="s">
        <v>586</v>
      </c>
      <c r="H123" s="3" t="s">
        <v>586</v>
      </c>
      <c r="I123" s="3" t="s">
        <v>534</v>
      </c>
    </row>
    <row r="124" spans="1:9" ht="39.6" customHeight="1">
      <c r="A124" s="1" t="s">
        <v>132</v>
      </c>
      <c r="B124" s="1" t="s">
        <v>135</v>
      </c>
      <c r="C124" s="5" t="s">
        <v>277</v>
      </c>
      <c r="D124" s="1" t="s">
        <v>496</v>
      </c>
      <c r="E124" s="3" t="s">
        <v>2</v>
      </c>
      <c r="F124" s="3" t="s">
        <v>2</v>
      </c>
      <c r="G124" s="3" t="s">
        <v>586</v>
      </c>
      <c r="H124" s="3" t="s">
        <v>586</v>
      </c>
      <c r="I124" s="3" t="s">
        <v>534</v>
      </c>
    </row>
    <row r="125" spans="1:9" ht="39.6" customHeight="1">
      <c r="A125" s="1" t="s">
        <v>132</v>
      </c>
      <c r="B125" s="1" t="s">
        <v>136</v>
      </c>
      <c r="C125" s="5" t="s">
        <v>278</v>
      </c>
      <c r="D125" s="1" t="s">
        <v>496</v>
      </c>
      <c r="E125" s="3" t="s">
        <v>430</v>
      </c>
      <c r="F125" s="3" t="s">
        <v>430</v>
      </c>
      <c r="G125" s="3" t="s">
        <v>586</v>
      </c>
      <c r="H125" s="3" t="s">
        <v>586</v>
      </c>
      <c r="I125" s="3" t="s">
        <v>534</v>
      </c>
    </row>
    <row r="126" spans="1:9" ht="39.6" customHeight="1">
      <c r="A126" s="1" t="s">
        <v>132</v>
      </c>
      <c r="B126" s="1" t="s">
        <v>137</v>
      </c>
      <c r="C126" s="5" t="s">
        <v>279</v>
      </c>
      <c r="D126" s="1" t="s">
        <v>496</v>
      </c>
      <c r="E126" s="3" t="s">
        <v>430</v>
      </c>
      <c r="F126" s="3" t="s">
        <v>430</v>
      </c>
      <c r="G126" s="3" t="s">
        <v>586</v>
      </c>
      <c r="H126" s="3" t="s">
        <v>586</v>
      </c>
      <c r="I126" s="3" t="s">
        <v>534</v>
      </c>
    </row>
    <row r="127" spans="1:9" ht="39.6" customHeight="1">
      <c r="A127" s="1" t="s">
        <v>132</v>
      </c>
      <c r="B127" s="1" t="s">
        <v>138</v>
      </c>
      <c r="C127" s="5" t="s">
        <v>280</v>
      </c>
      <c r="D127" s="1" t="s">
        <v>496</v>
      </c>
      <c r="E127" s="3" t="s">
        <v>430</v>
      </c>
      <c r="F127" s="3" t="s">
        <v>430</v>
      </c>
      <c r="G127" s="3" t="s">
        <v>586</v>
      </c>
      <c r="H127" s="3" t="s">
        <v>586</v>
      </c>
      <c r="I127" s="3" t="s">
        <v>534</v>
      </c>
    </row>
    <row r="128" spans="1:9" ht="39.6" customHeight="1">
      <c r="A128" s="1" t="s">
        <v>132</v>
      </c>
      <c r="B128" s="1" t="s">
        <v>139</v>
      </c>
      <c r="C128" s="5" t="s">
        <v>281</v>
      </c>
      <c r="D128" s="1" t="s">
        <v>496</v>
      </c>
      <c r="E128" s="3" t="s">
        <v>430</v>
      </c>
      <c r="F128" s="3" t="s">
        <v>430</v>
      </c>
      <c r="G128" s="3" t="s">
        <v>586</v>
      </c>
      <c r="H128" s="3" t="s">
        <v>586</v>
      </c>
      <c r="I128" s="3" t="s">
        <v>534</v>
      </c>
    </row>
    <row r="129" spans="1:9" ht="39.6" customHeight="1">
      <c r="A129" s="1" t="s">
        <v>132</v>
      </c>
      <c r="B129" s="1" t="s">
        <v>140</v>
      </c>
      <c r="C129" s="5" t="s">
        <v>282</v>
      </c>
      <c r="D129" s="1" t="s">
        <v>496</v>
      </c>
      <c r="E129" s="3" t="s">
        <v>430</v>
      </c>
      <c r="F129" s="3" t="s">
        <v>430</v>
      </c>
      <c r="G129" s="3" t="s">
        <v>586</v>
      </c>
      <c r="H129" s="3" t="s">
        <v>586</v>
      </c>
      <c r="I129" s="3" t="s">
        <v>534</v>
      </c>
    </row>
    <row r="130" spans="1:9" ht="39.6" customHeight="1">
      <c r="A130" s="1" t="s">
        <v>132</v>
      </c>
      <c r="B130" s="1" t="s">
        <v>141</v>
      </c>
      <c r="C130" s="5" t="s">
        <v>387</v>
      </c>
      <c r="D130" s="1" t="s">
        <v>496</v>
      </c>
      <c r="E130" s="3" t="s">
        <v>430</v>
      </c>
      <c r="F130" s="3" t="s">
        <v>430</v>
      </c>
      <c r="G130" s="3" t="s">
        <v>586</v>
      </c>
      <c r="H130" s="3" t="s">
        <v>586</v>
      </c>
      <c r="I130" s="3" t="s">
        <v>534</v>
      </c>
    </row>
    <row r="131" spans="1:9" ht="39.6" customHeight="1">
      <c r="A131" s="1" t="s">
        <v>132</v>
      </c>
      <c r="B131" s="1" t="s">
        <v>142</v>
      </c>
      <c r="C131" s="5" t="s">
        <v>283</v>
      </c>
      <c r="D131" s="1" t="s">
        <v>496</v>
      </c>
      <c r="E131" s="3" t="s">
        <v>430</v>
      </c>
      <c r="F131" s="3" t="s">
        <v>430</v>
      </c>
      <c r="G131" s="3" t="s">
        <v>586</v>
      </c>
      <c r="H131" s="3" t="s">
        <v>586</v>
      </c>
      <c r="I131" s="3" t="s">
        <v>534</v>
      </c>
    </row>
    <row r="132" spans="1:9" ht="39.6" customHeight="1">
      <c r="A132" s="1" t="s">
        <v>143</v>
      </c>
      <c r="B132" s="1" t="s">
        <v>144</v>
      </c>
      <c r="C132" s="5" t="s">
        <v>284</v>
      </c>
      <c r="D132" s="1" t="s">
        <v>496</v>
      </c>
      <c r="E132" s="3" t="s">
        <v>430</v>
      </c>
      <c r="F132" s="3" t="s">
        <v>430</v>
      </c>
      <c r="G132" s="3" t="s">
        <v>586</v>
      </c>
      <c r="H132" s="3" t="s">
        <v>586</v>
      </c>
      <c r="I132" s="3" t="s">
        <v>586</v>
      </c>
    </row>
    <row r="133" spans="1:9" ht="39.6" customHeight="1">
      <c r="A133" s="1" t="s">
        <v>143</v>
      </c>
      <c r="B133" s="1" t="s">
        <v>145</v>
      </c>
      <c r="C133" s="5" t="s">
        <v>285</v>
      </c>
      <c r="D133" s="1" t="s">
        <v>496</v>
      </c>
      <c r="E133" s="3" t="s">
        <v>430</v>
      </c>
      <c r="F133" s="3" t="s">
        <v>430</v>
      </c>
      <c r="G133" s="3" t="s">
        <v>586</v>
      </c>
      <c r="H133" s="3" t="s">
        <v>586</v>
      </c>
      <c r="I133" s="3" t="s">
        <v>586</v>
      </c>
    </row>
    <row r="134" spans="1:9" ht="39.6" customHeight="1">
      <c r="A134" s="1" t="s">
        <v>143</v>
      </c>
      <c r="B134" s="1" t="s">
        <v>146</v>
      </c>
      <c r="C134" s="5" t="s">
        <v>286</v>
      </c>
      <c r="D134" s="1" t="s">
        <v>496</v>
      </c>
      <c r="E134" s="3" t="s">
        <v>430</v>
      </c>
      <c r="F134" s="3" t="s">
        <v>430</v>
      </c>
      <c r="G134" s="3" t="s">
        <v>586</v>
      </c>
      <c r="H134" s="3" t="s">
        <v>586</v>
      </c>
      <c r="I134" s="3" t="s">
        <v>586</v>
      </c>
    </row>
    <row r="135" spans="1:9" ht="39.6" customHeight="1">
      <c r="A135" s="1" t="s">
        <v>143</v>
      </c>
      <c r="B135" s="1" t="s">
        <v>147</v>
      </c>
      <c r="C135" s="5" t="s">
        <v>287</v>
      </c>
      <c r="D135" s="1" t="s">
        <v>496</v>
      </c>
      <c r="E135" s="3" t="s">
        <v>430</v>
      </c>
      <c r="F135" s="3" t="s">
        <v>430</v>
      </c>
      <c r="G135" s="3" t="s">
        <v>586</v>
      </c>
      <c r="H135" s="3" t="s">
        <v>586</v>
      </c>
      <c r="I135" s="3" t="s">
        <v>586</v>
      </c>
    </row>
    <row r="136" spans="1:9" ht="39.6" customHeight="1">
      <c r="A136" s="1" t="s">
        <v>143</v>
      </c>
      <c r="B136" s="1" t="s">
        <v>148</v>
      </c>
      <c r="C136" s="5" t="s">
        <v>388</v>
      </c>
      <c r="D136" s="1" t="s">
        <v>496</v>
      </c>
      <c r="E136" s="3" t="s">
        <v>430</v>
      </c>
      <c r="F136" s="3" t="s">
        <v>430</v>
      </c>
      <c r="G136" s="3" t="s">
        <v>586</v>
      </c>
      <c r="H136" s="3" t="s">
        <v>523</v>
      </c>
      <c r="I136" s="3" t="s">
        <v>586</v>
      </c>
    </row>
    <row r="137" spans="1:9" ht="39.6" customHeight="1">
      <c r="A137" s="1" t="s">
        <v>143</v>
      </c>
      <c r="B137" s="1" t="s">
        <v>149</v>
      </c>
      <c r="C137" s="5" t="s">
        <v>389</v>
      </c>
      <c r="D137" s="1" t="s">
        <v>497</v>
      </c>
      <c r="E137" s="3" t="s">
        <v>430</v>
      </c>
      <c r="F137" s="3" t="s">
        <v>430</v>
      </c>
      <c r="G137" s="3" t="s">
        <v>586</v>
      </c>
      <c r="H137" s="3" t="s">
        <v>523</v>
      </c>
      <c r="I137" s="3" t="s">
        <v>586</v>
      </c>
    </row>
    <row r="138" spans="1:9" ht="39.6" customHeight="1">
      <c r="A138" s="1" t="s">
        <v>143</v>
      </c>
      <c r="B138" s="1" t="s">
        <v>150</v>
      </c>
      <c r="C138" s="5" t="s">
        <v>390</v>
      </c>
      <c r="D138" s="1" t="s">
        <v>496</v>
      </c>
      <c r="E138" s="3" t="s">
        <v>430</v>
      </c>
      <c r="F138" s="3" t="s">
        <v>430</v>
      </c>
      <c r="G138" s="3" t="s">
        <v>586</v>
      </c>
      <c r="H138" s="3" t="s">
        <v>586</v>
      </c>
      <c r="I138" s="3" t="s">
        <v>586</v>
      </c>
    </row>
    <row r="139" spans="1:9" ht="39.6" customHeight="1">
      <c r="A139" s="1" t="s">
        <v>143</v>
      </c>
      <c r="B139" s="1" t="s">
        <v>151</v>
      </c>
      <c r="C139" s="5" t="s">
        <v>391</v>
      </c>
      <c r="D139" s="1" t="s">
        <v>496</v>
      </c>
      <c r="E139" s="3" t="s">
        <v>430</v>
      </c>
      <c r="F139" s="3" t="s">
        <v>430</v>
      </c>
      <c r="G139" s="3" t="s">
        <v>586</v>
      </c>
      <c r="H139" s="3" t="s">
        <v>586</v>
      </c>
      <c r="I139" s="3" t="s">
        <v>586</v>
      </c>
    </row>
    <row r="140" spans="1:9" ht="39.6" customHeight="1">
      <c r="A140" s="1" t="s">
        <v>143</v>
      </c>
      <c r="B140" s="1" t="s">
        <v>346</v>
      </c>
      <c r="C140" s="5" t="s">
        <v>392</v>
      </c>
      <c r="D140" s="1" t="s">
        <v>496</v>
      </c>
      <c r="E140" s="3" t="s">
        <v>430</v>
      </c>
      <c r="F140" s="3" t="s">
        <v>430</v>
      </c>
      <c r="G140" s="3" t="s">
        <v>586</v>
      </c>
      <c r="H140" s="3" t="s">
        <v>586</v>
      </c>
      <c r="I140" s="3" t="s">
        <v>586</v>
      </c>
    </row>
    <row r="141" spans="1:9" ht="39.6" customHeight="1">
      <c r="A141" s="1" t="s">
        <v>143</v>
      </c>
      <c r="B141" s="1" t="s">
        <v>152</v>
      </c>
      <c r="C141" s="5" t="s">
        <v>393</v>
      </c>
      <c r="D141" s="1" t="s">
        <v>497</v>
      </c>
      <c r="E141" s="3" t="s">
        <v>430</v>
      </c>
      <c r="F141" s="3" t="s">
        <v>430</v>
      </c>
      <c r="G141" s="3" t="s">
        <v>586</v>
      </c>
      <c r="H141" s="3" t="s">
        <v>586</v>
      </c>
      <c r="I141" s="3" t="s">
        <v>586</v>
      </c>
    </row>
    <row r="142" spans="1:9" ht="39.6" customHeight="1">
      <c r="A142" s="1" t="s">
        <v>143</v>
      </c>
      <c r="B142" s="1" t="s">
        <v>153</v>
      </c>
      <c r="C142" s="5" t="s">
        <v>394</v>
      </c>
      <c r="D142" s="1" t="s">
        <v>496</v>
      </c>
      <c r="E142" s="3" t="s">
        <v>430</v>
      </c>
      <c r="F142" s="3" t="s">
        <v>430</v>
      </c>
      <c r="G142" s="3" t="s">
        <v>586</v>
      </c>
      <c r="H142" s="3" t="s">
        <v>586</v>
      </c>
      <c r="I142" s="3" t="s">
        <v>586</v>
      </c>
    </row>
    <row r="143" spans="1:9" ht="39.6" customHeight="1">
      <c r="A143" s="1" t="s">
        <v>143</v>
      </c>
      <c r="B143" s="1" t="s">
        <v>154</v>
      </c>
      <c r="C143" s="5" t="s">
        <v>395</v>
      </c>
      <c r="D143" s="1" t="s">
        <v>496</v>
      </c>
      <c r="E143" s="3" t="s">
        <v>430</v>
      </c>
      <c r="F143" s="3" t="s">
        <v>430</v>
      </c>
      <c r="G143" s="3" t="s">
        <v>586</v>
      </c>
      <c r="H143" s="3" t="s">
        <v>586</v>
      </c>
      <c r="I143" s="3" t="s">
        <v>586</v>
      </c>
    </row>
    <row r="144" spans="1:9" ht="39.6" customHeight="1">
      <c r="A144" s="15" t="s">
        <v>155</v>
      </c>
      <c r="B144" s="15" t="s">
        <v>156</v>
      </c>
      <c r="C144" s="16" t="s">
        <v>288</v>
      </c>
      <c r="D144" s="1" t="s">
        <v>496</v>
      </c>
      <c r="E144" s="3" t="s">
        <v>430</v>
      </c>
      <c r="F144" s="3" t="s">
        <v>430</v>
      </c>
      <c r="G144" s="3" t="s">
        <v>586</v>
      </c>
      <c r="H144" s="3" t="s">
        <v>586</v>
      </c>
      <c r="I144" s="3" t="s">
        <v>534</v>
      </c>
    </row>
    <row r="145" spans="1:9" ht="39.6" customHeight="1">
      <c r="A145" s="15" t="s">
        <v>155</v>
      </c>
      <c r="B145" s="15" t="s">
        <v>157</v>
      </c>
      <c r="C145" s="16" t="s">
        <v>289</v>
      </c>
      <c r="D145" s="1" t="s">
        <v>497</v>
      </c>
      <c r="E145" s="3" t="s">
        <v>430</v>
      </c>
      <c r="F145" s="3" t="s">
        <v>430</v>
      </c>
      <c r="G145" s="3" t="s">
        <v>586</v>
      </c>
      <c r="H145" s="3" t="s">
        <v>586</v>
      </c>
      <c r="I145" s="3" t="s">
        <v>534</v>
      </c>
    </row>
    <row r="146" spans="1:9" ht="39.6" customHeight="1">
      <c r="A146" s="15" t="s">
        <v>155</v>
      </c>
      <c r="B146" s="15" t="s">
        <v>158</v>
      </c>
      <c r="C146" s="17" t="s">
        <v>290</v>
      </c>
      <c r="D146" s="1" t="s">
        <v>496</v>
      </c>
      <c r="E146" s="3" t="s">
        <v>430</v>
      </c>
      <c r="F146" s="3" t="s">
        <v>430</v>
      </c>
      <c r="G146" s="3" t="s">
        <v>586</v>
      </c>
      <c r="H146" s="3" t="s">
        <v>586</v>
      </c>
      <c r="I146" s="3" t="s">
        <v>534</v>
      </c>
    </row>
    <row r="147" spans="1:9" ht="39.6" customHeight="1">
      <c r="A147" s="15" t="s">
        <v>155</v>
      </c>
      <c r="B147" s="15" t="s">
        <v>159</v>
      </c>
      <c r="C147" s="16" t="s">
        <v>291</v>
      </c>
      <c r="D147" s="1" t="s">
        <v>496</v>
      </c>
      <c r="E147" s="3" t="s">
        <v>430</v>
      </c>
      <c r="F147" s="3" t="s">
        <v>430</v>
      </c>
      <c r="G147" s="3" t="s">
        <v>586</v>
      </c>
      <c r="H147" s="3" t="s">
        <v>586</v>
      </c>
      <c r="I147" s="3" t="s">
        <v>534</v>
      </c>
    </row>
    <row r="148" spans="1:9" ht="39.6" customHeight="1">
      <c r="A148" s="15" t="s">
        <v>155</v>
      </c>
      <c r="B148" s="15" t="s">
        <v>160</v>
      </c>
      <c r="C148" s="16" t="s">
        <v>292</v>
      </c>
      <c r="D148" s="1" t="s">
        <v>497</v>
      </c>
      <c r="E148" s="3" t="s">
        <v>430</v>
      </c>
      <c r="F148" s="3" t="s">
        <v>556</v>
      </c>
      <c r="G148" s="3" t="s">
        <v>586</v>
      </c>
      <c r="H148" s="3" t="s">
        <v>586</v>
      </c>
      <c r="I148" s="3" t="s">
        <v>534</v>
      </c>
    </row>
    <row r="149" spans="1:9" ht="39.6" customHeight="1">
      <c r="A149" s="15" t="s">
        <v>155</v>
      </c>
      <c r="B149" s="15" t="s">
        <v>161</v>
      </c>
      <c r="C149" s="16" t="s">
        <v>293</v>
      </c>
      <c r="D149" s="1" t="s">
        <v>496</v>
      </c>
      <c r="E149" s="3" t="s">
        <v>430</v>
      </c>
      <c r="F149" s="3" t="s">
        <v>430</v>
      </c>
      <c r="G149" s="3" t="s">
        <v>586</v>
      </c>
      <c r="H149" s="3" t="s">
        <v>586</v>
      </c>
      <c r="I149" s="3" t="s">
        <v>534</v>
      </c>
    </row>
    <row r="150" spans="1:9" ht="39.6" customHeight="1">
      <c r="A150" s="15" t="s">
        <v>155</v>
      </c>
      <c r="B150" s="15" t="s">
        <v>162</v>
      </c>
      <c r="C150" s="16" t="s">
        <v>294</v>
      </c>
      <c r="D150" s="1" t="s">
        <v>496</v>
      </c>
      <c r="E150" s="3" t="s">
        <v>430</v>
      </c>
      <c r="F150" s="3" t="s">
        <v>430</v>
      </c>
      <c r="G150" s="3" t="s">
        <v>586</v>
      </c>
      <c r="H150" s="3" t="s">
        <v>586</v>
      </c>
      <c r="I150" s="3" t="s">
        <v>534</v>
      </c>
    </row>
    <row r="151" spans="1:9" ht="39.6" customHeight="1">
      <c r="A151" s="15" t="s">
        <v>155</v>
      </c>
      <c r="B151" s="15" t="s">
        <v>163</v>
      </c>
      <c r="C151" s="16" t="s">
        <v>295</v>
      </c>
      <c r="D151" s="1" t="s">
        <v>496</v>
      </c>
      <c r="E151" s="3" t="s">
        <v>430</v>
      </c>
      <c r="F151" s="3" t="s">
        <v>430</v>
      </c>
      <c r="G151" s="3" t="s">
        <v>586</v>
      </c>
      <c r="H151" s="3" t="s">
        <v>586</v>
      </c>
      <c r="I151" s="3" t="s">
        <v>534</v>
      </c>
    </row>
    <row r="152" spans="1:9" ht="39.6" customHeight="1">
      <c r="A152" s="15" t="s">
        <v>164</v>
      </c>
      <c r="B152" s="15" t="s">
        <v>165</v>
      </c>
      <c r="C152" s="16" t="s">
        <v>296</v>
      </c>
      <c r="D152" s="1" t="s">
        <v>496</v>
      </c>
      <c r="E152" s="3" t="s">
        <v>430</v>
      </c>
      <c r="F152" s="3" t="s">
        <v>430</v>
      </c>
      <c r="G152" s="3" t="s">
        <v>586</v>
      </c>
      <c r="H152" s="3" t="s">
        <v>586</v>
      </c>
      <c r="I152" s="3" t="s">
        <v>534</v>
      </c>
    </row>
    <row r="153" spans="1:9" ht="39.6" customHeight="1">
      <c r="A153" s="15" t="s">
        <v>164</v>
      </c>
      <c r="B153" s="15" t="s">
        <v>166</v>
      </c>
      <c r="C153" s="16" t="s">
        <v>297</v>
      </c>
      <c r="D153" s="1" t="s">
        <v>496</v>
      </c>
      <c r="E153" s="3" t="s">
        <v>430</v>
      </c>
      <c r="F153" s="3" t="s">
        <v>430</v>
      </c>
      <c r="G153" s="3" t="s">
        <v>586</v>
      </c>
      <c r="H153" s="3" t="s">
        <v>586</v>
      </c>
      <c r="I153" s="3" t="s">
        <v>534</v>
      </c>
    </row>
    <row r="154" spans="1:9" ht="39.6" customHeight="1">
      <c r="A154" s="15" t="s">
        <v>164</v>
      </c>
      <c r="B154" s="15" t="s">
        <v>167</v>
      </c>
      <c r="C154" s="16" t="s">
        <v>298</v>
      </c>
      <c r="D154" s="1" t="s">
        <v>496</v>
      </c>
      <c r="E154" s="3" t="s">
        <v>430</v>
      </c>
      <c r="F154" s="3" t="s">
        <v>430</v>
      </c>
      <c r="G154" s="3" t="s">
        <v>586</v>
      </c>
      <c r="H154" s="3" t="s">
        <v>586</v>
      </c>
      <c r="I154" s="3" t="s">
        <v>534</v>
      </c>
    </row>
    <row r="155" spans="1:9" ht="39.6" customHeight="1">
      <c r="A155" s="15" t="s">
        <v>164</v>
      </c>
      <c r="B155" s="15" t="s">
        <v>168</v>
      </c>
      <c r="C155" s="16" t="s">
        <v>299</v>
      </c>
      <c r="D155" s="1" t="s">
        <v>496</v>
      </c>
      <c r="E155" s="3" t="s">
        <v>430</v>
      </c>
      <c r="F155" s="3" t="s">
        <v>430</v>
      </c>
      <c r="G155" s="3" t="s">
        <v>586</v>
      </c>
      <c r="H155" s="3" t="s">
        <v>586</v>
      </c>
      <c r="I155" s="3" t="s">
        <v>534</v>
      </c>
    </row>
    <row r="156" spans="1:9" ht="39.6" customHeight="1">
      <c r="A156" s="15" t="s">
        <v>164</v>
      </c>
      <c r="B156" s="15" t="s">
        <v>169</v>
      </c>
      <c r="C156" s="16" t="s">
        <v>300</v>
      </c>
      <c r="D156" s="1" t="s">
        <v>496</v>
      </c>
      <c r="E156" s="3" t="s">
        <v>430</v>
      </c>
      <c r="F156" s="3" t="s">
        <v>430</v>
      </c>
      <c r="G156" s="3" t="s">
        <v>586</v>
      </c>
      <c r="H156" s="3" t="s">
        <v>586</v>
      </c>
      <c r="I156" s="3" t="s">
        <v>534</v>
      </c>
    </row>
    <row r="157" spans="1:9" ht="39.6" customHeight="1">
      <c r="A157" s="15" t="s">
        <v>164</v>
      </c>
      <c r="B157" s="15" t="s">
        <v>170</v>
      </c>
      <c r="C157" s="16" t="s">
        <v>301</v>
      </c>
      <c r="D157" s="1" t="s">
        <v>496</v>
      </c>
      <c r="E157" s="3" t="s">
        <v>430</v>
      </c>
      <c r="F157" s="3" t="s">
        <v>430</v>
      </c>
      <c r="G157" s="3" t="s">
        <v>586</v>
      </c>
      <c r="H157" s="3" t="s">
        <v>586</v>
      </c>
      <c r="I157" s="3" t="s">
        <v>534</v>
      </c>
    </row>
    <row r="158" spans="1:9" ht="39.6" customHeight="1">
      <c r="A158" s="15" t="s">
        <v>164</v>
      </c>
      <c r="B158" s="15" t="s">
        <v>171</v>
      </c>
      <c r="C158" s="16" t="s">
        <v>302</v>
      </c>
      <c r="D158" s="1" t="s">
        <v>496</v>
      </c>
      <c r="E158" s="3" t="s">
        <v>430</v>
      </c>
      <c r="F158" s="3" t="s">
        <v>430</v>
      </c>
      <c r="G158" s="3" t="s">
        <v>586</v>
      </c>
      <c r="H158" s="3" t="s">
        <v>586</v>
      </c>
      <c r="I158" s="3" t="s">
        <v>534</v>
      </c>
    </row>
    <row r="159" spans="1:9" ht="39.6" customHeight="1">
      <c r="A159" s="15" t="s">
        <v>164</v>
      </c>
      <c r="B159" s="15" t="s">
        <v>172</v>
      </c>
      <c r="C159" s="16" t="s">
        <v>303</v>
      </c>
      <c r="D159" s="1" t="s">
        <v>496</v>
      </c>
      <c r="E159" s="3" t="s">
        <v>430</v>
      </c>
      <c r="F159" s="3" t="s">
        <v>430</v>
      </c>
      <c r="G159" s="3" t="s">
        <v>586</v>
      </c>
      <c r="H159" s="3" t="s">
        <v>586</v>
      </c>
      <c r="I159" s="3" t="s">
        <v>534</v>
      </c>
    </row>
    <row r="160" spans="1:9" ht="39.6" customHeight="1">
      <c r="A160" s="15" t="s">
        <v>173</v>
      </c>
      <c r="B160" s="15" t="s">
        <v>174</v>
      </c>
      <c r="C160" s="16" t="s">
        <v>304</v>
      </c>
      <c r="D160" s="1" t="s">
        <v>496</v>
      </c>
      <c r="E160" s="3" t="s">
        <v>430</v>
      </c>
      <c r="F160" s="3" t="s">
        <v>430</v>
      </c>
      <c r="G160" s="3" t="s">
        <v>586</v>
      </c>
      <c r="H160" s="3" t="s">
        <v>586</v>
      </c>
      <c r="I160" s="3" t="s">
        <v>586</v>
      </c>
    </row>
    <row r="161" spans="1:9" ht="39.6" customHeight="1">
      <c r="A161" s="15" t="s">
        <v>173</v>
      </c>
      <c r="B161" s="15" t="s">
        <v>175</v>
      </c>
      <c r="C161" s="16" t="s">
        <v>305</v>
      </c>
      <c r="D161" s="1" t="s">
        <v>496</v>
      </c>
      <c r="E161" s="3" t="s">
        <v>430</v>
      </c>
      <c r="F161" s="3" t="s">
        <v>430</v>
      </c>
      <c r="G161" s="3" t="s">
        <v>586</v>
      </c>
      <c r="H161" s="3" t="s">
        <v>586</v>
      </c>
      <c r="I161" s="3" t="s">
        <v>586</v>
      </c>
    </row>
    <row r="162" spans="1:9" ht="39.6" customHeight="1">
      <c r="A162" s="15" t="s">
        <v>173</v>
      </c>
      <c r="B162" s="15" t="s">
        <v>176</v>
      </c>
      <c r="C162" s="16" t="s">
        <v>396</v>
      </c>
      <c r="D162" s="1" t="s">
        <v>496</v>
      </c>
      <c r="E162" s="3" t="s">
        <v>430</v>
      </c>
      <c r="F162" s="3" t="s">
        <v>430</v>
      </c>
      <c r="G162" s="3" t="s">
        <v>586</v>
      </c>
      <c r="H162" s="3" t="s">
        <v>586</v>
      </c>
      <c r="I162" s="3" t="s">
        <v>534</v>
      </c>
    </row>
    <row r="163" spans="1:9" ht="39.6" customHeight="1">
      <c r="A163" s="15" t="s">
        <v>173</v>
      </c>
      <c r="B163" s="15" t="s">
        <v>177</v>
      </c>
      <c r="C163" s="16" t="s">
        <v>397</v>
      </c>
      <c r="D163" s="1" t="s">
        <v>497</v>
      </c>
      <c r="E163" s="3" t="s">
        <v>430</v>
      </c>
      <c r="F163" s="3" t="s">
        <v>430</v>
      </c>
      <c r="G163" s="3" t="s">
        <v>586</v>
      </c>
      <c r="H163" s="3" t="s">
        <v>523</v>
      </c>
      <c r="I163" s="3" t="s">
        <v>586</v>
      </c>
    </row>
    <row r="164" spans="1:9" ht="39.6" customHeight="1">
      <c r="A164" s="15" t="s">
        <v>173</v>
      </c>
      <c r="B164" s="15" t="s">
        <v>178</v>
      </c>
      <c r="C164" s="16" t="s">
        <v>398</v>
      </c>
      <c r="D164" s="1" t="s">
        <v>497</v>
      </c>
      <c r="E164" s="3" t="s">
        <v>430</v>
      </c>
      <c r="F164" s="3" t="s">
        <v>430</v>
      </c>
      <c r="G164" s="3" t="s">
        <v>586</v>
      </c>
      <c r="H164" s="3" t="s">
        <v>523</v>
      </c>
      <c r="I164" s="3" t="s">
        <v>586</v>
      </c>
    </row>
    <row r="165" spans="1:9" ht="39.6" customHeight="1">
      <c r="A165" s="15" t="s">
        <v>173</v>
      </c>
      <c r="B165" s="15" t="s">
        <v>179</v>
      </c>
      <c r="C165" s="16" t="s">
        <v>399</v>
      </c>
      <c r="D165" s="1" t="s">
        <v>497</v>
      </c>
      <c r="E165" s="3" t="s">
        <v>430</v>
      </c>
      <c r="F165" s="3" t="s">
        <v>430</v>
      </c>
      <c r="G165" s="3" t="s">
        <v>586</v>
      </c>
      <c r="H165" s="3" t="s">
        <v>523</v>
      </c>
      <c r="I165" s="3" t="s">
        <v>586</v>
      </c>
    </row>
    <row r="166" spans="1:9" ht="39.6" customHeight="1">
      <c r="A166" s="15" t="s">
        <v>173</v>
      </c>
      <c r="B166" s="15" t="s">
        <v>180</v>
      </c>
      <c r="C166" s="16" t="s">
        <v>400</v>
      </c>
      <c r="D166" s="1" t="s">
        <v>497</v>
      </c>
      <c r="E166" s="3" t="s">
        <v>430</v>
      </c>
      <c r="F166" s="3" t="s">
        <v>430</v>
      </c>
      <c r="G166" s="3" t="s">
        <v>586</v>
      </c>
      <c r="H166" s="3" t="s">
        <v>523</v>
      </c>
      <c r="I166" s="3" t="s">
        <v>586</v>
      </c>
    </row>
    <row r="167" spans="1:9" ht="39.6" customHeight="1">
      <c r="A167" s="15" t="s">
        <v>173</v>
      </c>
      <c r="B167" s="15" t="s">
        <v>181</v>
      </c>
      <c r="C167" s="16" t="s">
        <v>401</v>
      </c>
      <c r="D167" s="1" t="s">
        <v>496</v>
      </c>
      <c r="E167" s="3" t="s">
        <v>430</v>
      </c>
      <c r="F167" s="3" t="s">
        <v>430</v>
      </c>
      <c r="G167" s="3" t="s">
        <v>586</v>
      </c>
      <c r="H167" s="3" t="s">
        <v>523</v>
      </c>
      <c r="I167" s="3" t="s">
        <v>586</v>
      </c>
    </row>
    <row r="168" spans="1:9" ht="39.6" customHeight="1">
      <c r="A168" s="15" t="s">
        <v>173</v>
      </c>
      <c r="B168" s="15" t="s">
        <v>182</v>
      </c>
      <c r="C168" s="16" t="s">
        <v>402</v>
      </c>
      <c r="D168" s="1" t="s">
        <v>496</v>
      </c>
      <c r="E168" s="3" t="s">
        <v>430</v>
      </c>
      <c r="F168" s="3" t="s">
        <v>430</v>
      </c>
      <c r="G168" s="3" t="s">
        <v>586</v>
      </c>
      <c r="H168" s="3" t="s">
        <v>586</v>
      </c>
      <c r="I168" s="3" t="s">
        <v>586</v>
      </c>
    </row>
    <row r="169" spans="1:9" ht="39.6" customHeight="1">
      <c r="A169" s="15" t="s">
        <v>173</v>
      </c>
      <c r="B169" s="15" t="s">
        <v>183</v>
      </c>
      <c r="C169" s="16" t="s">
        <v>403</v>
      </c>
      <c r="D169" s="1" t="s">
        <v>496</v>
      </c>
      <c r="E169" s="3" t="s">
        <v>430</v>
      </c>
      <c r="F169" s="3" t="s">
        <v>430</v>
      </c>
      <c r="G169" s="3" t="s">
        <v>586</v>
      </c>
      <c r="H169" s="3" t="s">
        <v>586</v>
      </c>
      <c r="I169" s="3" t="s">
        <v>586</v>
      </c>
    </row>
    <row r="170" spans="1:9" ht="39.6" customHeight="1">
      <c r="A170" s="15" t="s">
        <v>184</v>
      </c>
      <c r="B170" s="15" t="s">
        <v>185</v>
      </c>
      <c r="C170" s="16" t="s">
        <v>306</v>
      </c>
      <c r="D170" s="1" t="s">
        <v>496</v>
      </c>
      <c r="E170" s="3" t="s">
        <v>430</v>
      </c>
      <c r="F170" s="3" t="s">
        <v>430</v>
      </c>
      <c r="G170" s="3" t="s">
        <v>586</v>
      </c>
      <c r="H170" s="3" t="s">
        <v>586</v>
      </c>
      <c r="I170" s="3" t="s">
        <v>586</v>
      </c>
    </row>
    <row r="171" spans="1:9" ht="39.6" customHeight="1">
      <c r="A171" s="15" t="s">
        <v>184</v>
      </c>
      <c r="B171" s="15" t="s">
        <v>186</v>
      </c>
      <c r="C171" s="16" t="s">
        <v>307</v>
      </c>
      <c r="D171" s="1" t="s">
        <v>496</v>
      </c>
      <c r="E171" s="3" t="s">
        <v>430</v>
      </c>
      <c r="F171" s="3" t="s">
        <v>430</v>
      </c>
      <c r="G171" s="3" t="s">
        <v>586</v>
      </c>
      <c r="H171" s="3" t="s">
        <v>586</v>
      </c>
      <c r="I171" s="3" t="s">
        <v>534</v>
      </c>
    </row>
    <row r="172" spans="1:9" ht="39.6" customHeight="1">
      <c r="A172" s="15" t="s">
        <v>184</v>
      </c>
      <c r="B172" s="15" t="s">
        <v>187</v>
      </c>
      <c r="C172" s="16" t="s">
        <v>308</v>
      </c>
      <c r="D172" s="1" t="s">
        <v>496</v>
      </c>
      <c r="E172" s="3" t="s">
        <v>430</v>
      </c>
      <c r="F172" s="3" t="s">
        <v>430</v>
      </c>
      <c r="G172" s="3" t="s">
        <v>586</v>
      </c>
      <c r="H172" s="3" t="s">
        <v>523</v>
      </c>
      <c r="I172" s="3" t="s">
        <v>586</v>
      </c>
    </row>
    <row r="173" spans="1:9" ht="39.6" customHeight="1">
      <c r="A173" s="15" t="s">
        <v>184</v>
      </c>
      <c r="B173" s="15" t="s">
        <v>188</v>
      </c>
      <c r="C173" s="16" t="s">
        <v>404</v>
      </c>
      <c r="D173" s="1" t="s">
        <v>496</v>
      </c>
      <c r="E173" s="3" t="s">
        <v>430</v>
      </c>
      <c r="F173" s="3" t="s">
        <v>430</v>
      </c>
      <c r="G173" s="3" t="s">
        <v>586</v>
      </c>
      <c r="H173" s="3" t="s">
        <v>586</v>
      </c>
      <c r="I173" s="3" t="s">
        <v>586</v>
      </c>
    </row>
    <row r="174" spans="1:9" ht="39.6" customHeight="1">
      <c r="A174" s="15" t="s">
        <v>184</v>
      </c>
      <c r="B174" s="15" t="s">
        <v>189</v>
      </c>
      <c r="C174" s="16" t="s">
        <v>309</v>
      </c>
      <c r="D174" s="1" t="s">
        <v>496</v>
      </c>
      <c r="E174" s="3" t="s">
        <v>430</v>
      </c>
      <c r="F174" s="3" t="s">
        <v>430</v>
      </c>
      <c r="G174" s="3" t="s">
        <v>586</v>
      </c>
      <c r="H174" s="3" t="s">
        <v>586</v>
      </c>
      <c r="I174" s="3" t="s">
        <v>586</v>
      </c>
    </row>
    <row r="175" spans="1:9" ht="39.6" customHeight="1">
      <c r="A175" s="15" t="s">
        <v>184</v>
      </c>
      <c r="B175" s="15" t="s">
        <v>190</v>
      </c>
      <c r="C175" s="16" t="s">
        <v>405</v>
      </c>
      <c r="D175" s="1" t="s">
        <v>496</v>
      </c>
      <c r="E175" s="3" t="s">
        <v>430</v>
      </c>
      <c r="F175" s="3" t="s">
        <v>430</v>
      </c>
      <c r="G175" s="3" t="s">
        <v>586</v>
      </c>
      <c r="H175" s="3" t="s">
        <v>586</v>
      </c>
      <c r="I175" s="3" t="s">
        <v>586</v>
      </c>
    </row>
    <row r="176" spans="1:9" ht="39.6" customHeight="1">
      <c r="A176" s="15" t="s">
        <v>184</v>
      </c>
      <c r="B176" s="15" t="s">
        <v>191</v>
      </c>
      <c r="C176" s="16" t="s">
        <v>310</v>
      </c>
      <c r="D176" s="1" t="s">
        <v>496</v>
      </c>
      <c r="E176" s="3" t="s">
        <v>430</v>
      </c>
      <c r="F176" s="3" t="s">
        <v>430</v>
      </c>
      <c r="G176" s="3" t="s">
        <v>586</v>
      </c>
      <c r="H176" s="3" t="s">
        <v>586</v>
      </c>
      <c r="I176" s="3" t="s">
        <v>586</v>
      </c>
    </row>
    <row r="177" spans="1:9" ht="39.6" customHeight="1">
      <c r="A177" s="15" t="s">
        <v>184</v>
      </c>
      <c r="B177" s="15" t="s">
        <v>192</v>
      </c>
      <c r="C177" s="16" t="s">
        <v>311</v>
      </c>
      <c r="D177" s="1" t="s">
        <v>496</v>
      </c>
      <c r="E177" s="3" t="s">
        <v>430</v>
      </c>
      <c r="F177" s="3" t="s">
        <v>430</v>
      </c>
      <c r="G177" s="3" t="s">
        <v>586</v>
      </c>
      <c r="H177" s="3" t="s">
        <v>586</v>
      </c>
      <c r="I177" s="3" t="s">
        <v>586</v>
      </c>
    </row>
    <row r="178" spans="1:9" ht="39.6" customHeight="1">
      <c r="A178" s="15" t="s">
        <v>184</v>
      </c>
      <c r="B178" s="15" t="s">
        <v>193</v>
      </c>
      <c r="C178" s="16" t="s">
        <v>312</v>
      </c>
      <c r="D178" s="1" t="s">
        <v>496</v>
      </c>
      <c r="E178" s="3" t="s">
        <v>430</v>
      </c>
      <c r="F178" s="3" t="s">
        <v>430</v>
      </c>
      <c r="G178" s="3" t="s">
        <v>586</v>
      </c>
      <c r="H178" s="3" t="s">
        <v>586</v>
      </c>
      <c r="I178" s="3" t="s">
        <v>586</v>
      </c>
    </row>
    <row r="179" spans="1:9" ht="39.6" customHeight="1">
      <c r="A179" s="15" t="s">
        <v>184</v>
      </c>
      <c r="B179" s="15" t="s">
        <v>194</v>
      </c>
      <c r="C179" s="16" t="s">
        <v>313</v>
      </c>
      <c r="D179" s="1" t="s">
        <v>496</v>
      </c>
      <c r="E179" s="3" t="s">
        <v>430</v>
      </c>
      <c r="F179" s="3" t="s">
        <v>430</v>
      </c>
      <c r="G179" s="3" t="s">
        <v>586</v>
      </c>
      <c r="H179" s="3" t="s">
        <v>586</v>
      </c>
      <c r="I179" s="3" t="s">
        <v>586</v>
      </c>
    </row>
    <row r="180" spans="1:9" ht="39.6" customHeight="1">
      <c r="A180" s="15" t="s">
        <v>184</v>
      </c>
      <c r="B180" s="15" t="s">
        <v>195</v>
      </c>
      <c r="C180" s="16" t="s">
        <v>314</v>
      </c>
      <c r="D180" s="1" t="s">
        <v>496</v>
      </c>
      <c r="E180" s="3" t="s">
        <v>430</v>
      </c>
      <c r="F180" s="3" t="s">
        <v>430</v>
      </c>
      <c r="G180" s="3" t="s">
        <v>586</v>
      </c>
      <c r="H180" s="3" t="s">
        <v>586</v>
      </c>
      <c r="I180" s="3" t="s">
        <v>586</v>
      </c>
    </row>
  </sheetData>
  <sheetProtection algorithmName="SHA-512" hashValue="GE6qcbNZdMotUt4WoTQwvqgonKhQ+cGQaqvetadNPIRGrzxSutzjF/kEHzX+ul5xBZ86s64hH5fmm8cGoqlpbQ==" saltValue="KYrNgkjBhw9yBc3UN1+kfw==" spinCount="100000" sheet="1" objects="1" scenarios="1"/>
  <phoneticPr fontId="5" type="noConversion"/>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DBB0F4E-BD10-4D44-9400-034530C6BF54}">
          <x14:formula1>
            <xm:f>Backend!$P$2:$P$4</xm:f>
          </x14:formula1>
          <xm:sqref>D1:D1048576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9B8B-4B96-4D20-AEF9-65196020A3F4}">
  <sheetPr codeName="Sheet6"/>
  <dimension ref="A1:AD22"/>
  <sheetViews>
    <sheetView zoomScale="72" zoomScaleNormal="72" workbookViewId="0">
      <selection activeCell="B2" sqref="B2:B5"/>
    </sheetView>
  </sheetViews>
  <sheetFormatPr baseColWidth="10" defaultColWidth="8.5546875" defaultRowHeight="48" customHeight="1"/>
  <cols>
    <col min="1" max="1" width="13" style="80" bestFit="1" customWidth="1"/>
    <col min="2" max="4" width="35.88671875" style="80" customWidth="1"/>
    <col min="5" max="5" width="20" style="80" customWidth="1"/>
    <col min="6" max="6" width="36.21875" style="80" customWidth="1"/>
    <col min="7" max="11" width="17.5546875" style="80" customWidth="1"/>
    <col min="12" max="12" width="27.6640625" style="80" customWidth="1"/>
    <col min="13" max="13" width="18.6640625" style="80" customWidth="1"/>
    <col min="14" max="14" width="25.5546875" style="39" bestFit="1" customWidth="1"/>
    <col min="15" max="16" width="51.88671875" style="39" customWidth="1"/>
    <col min="17" max="17" width="32.88671875" style="39" customWidth="1"/>
    <col min="18" max="19" width="41.6640625" style="39" customWidth="1"/>
    <col min="20" max="20" width="30.109375" style="39" customWidth="1"/>
    <col min="21" max="21" width="23.6640625" style="39" customWidth="1"/>
    <col min="22" max="22" width="21.33203125" style="39" customWidth="1"/>
    <col min="23" max="23" width="27.6640625" style="39" customWidth="1"/>
    <col min="24" max="24" width="43.109375" style="39" bestFit="1" customWidth="1"/>
    <col min="25" max="25" width="31.6640625" style="39" customWidth="1"/>
    <col min="26" max="26" width="29.109375" style="39" customWidth="1"/>
    <col min="27" max="27" width="40.109375" style="39" customWidth="1"/>
    <col min="28" max="28" width="43.109375" style="39" customWidth="1"/>
    <col min="29" max="29" width="31.33203125" style="39" customWidth="1"/>
    <col min="30" max="30" width="18.33203125" style="39" customWidth="1"/>
    <col min="31" max="16384" width="8.5546875" style="39"/>
  </cols>
  <sheetData>
    <row r="1" spans="1:30" s="90" customFormat="1" ht="48" customHeight="1">
      <c r="A1" s="81" t="s">
        <v>406</v>
      </c>
      <c r="B1" s="82" t="s">
        <v>1</v>
      </c>
      <c r="C1" s="83" t="s">
        <v>315</v>
      </c>
      <c r="D1" s="83" t="s">
        <v>316</v>
      </c>
      <c r="E1" s="83" t="s">
        <v>317</v>
      </c>
      <c r="F1" s="82" t="s">
        <v>591</v>
      </c>
      <c r="G1" s="156" t="s">
        <v>522</v>
      </c>
      <c r="H1" s="156" t="s">
        <v>520</v>
      </c>
      <c r="I1" s="156" t="s">
        <v>521</v>
      </c>
      <c r="J1" s="156" t="s">
        <v>528</v>
      </c>
      <c r="K1" s="156" t="s">
        <v>525</v>
      </c>
      <c r="L1" s="156" t="s">
        <v>532</v>
      </c>
      <c r="M1" s="156" t="s">
        <v>529</v>
      </c>
      <c r="N1" s="82" t="s">
        <v>318</v>
      </c>
      <c r="O1" s="84" t="s">
        <v>526</v>
      </c>
      <c r="P1" s="85" t="s">
        <v>495</v>
      </c>
      <c r="Q1" s="86" t="s">
        <v>319</v>
      </c>
      <c r="R1" s="87" t="s">
        <v>419</v>
      </c>
      <c r="S1" s="87" t="s">
        <v>512</v>
      </c>
      <c r="T1" s="87" t="s">
        <v>487</v>
      </c>
      <c r="U1" s="88" t="s">
        <v>436</v>
      </c>
      <c r="V1" s="89" t="s">
        <v>410</v>
      </c>
      <c r="W1" s="89" t="s">
        <v>411</v>
      </c>
      <c r="X1" s="89" t="s">
        <v>412</v>
      </c>
      <c r="Y1" s="89" t="s">
        <v>442</v>
      </c>
      <c r="Z1" s="89" t="s">
        <v>446</v>
      </c>
      <c r="AA1" s="89" t="s">
        <v>414</v>
      </c>
      <c r="AB1" s="89" t="s">
        <v>468</v>
      </c>
      <c r="AC1" s="89" t="s">
        <v>415</v>
      </c>
      <c r="AD1" s="89" t="s">
        <v>413</v>
      </c>
    </row>
    <row r="2" spans="1:30" ht="48" customHeight="1">
      <c r="A2" s="73">
        <v>2020</v>
      </c>
      <c r="B2" s="74" t="s">
        <v>325</v>
      </c>
      <c r="C2" s="73" t="s">
        <v>321</v>
      </c>
      <c r="D2" s="75" t="s">
        <v>322</v>
      </c>
      <c r="E2" s="75" t="s">
        <v>323</v>
      </c>
      <c r="F2" s="76" t="s">
        <v>595</v>
      </c>
      <c r="G2" s="77" t="s">
        <v>531</v>
      </c>
      <c r="H2" s="77" t="s">
        <v>535</v>
      </c>
      <c r="I2" s="77" t="s">
        <v>523</v>
      </c>
      <c r="J2" s="77" t="s">
        <v>534</v>
      </c>
      <c r="K2" s="77" t="s">
        <v>561</v>
      </c>
      <c r="L2" s="77" t="s">
        <v>2</v>
      </c>
      <c r="M2" s="77" t="s">
        <v>530</v>
      </c>
      <c r="N2" s="73" t="s">
        <v>324</v>
      </c>
      <c r="O2" s="78" t="s">
        <v>525</v>
      </c>
      <c r="P2" s="76" t="s">
        <v>496</v>
      </c>
      <c r="Q2" s="74" t="s">
        <v>542</v>
      </c>
      <c r="R2" s="73" t="s">
        <v>416</v>
      </c>
      <c r="S2" s="73" t="s">
        <v>508</v>
      </c>
      <c r="T2" s="73" t="s">
        <v>488</v>
      </c>
      <c r="U2" s="73" t="s">
        <v>437</v>
      </c>
      <c r="V2" s="73" t="s">
        <v>2</v>
      </c>
      <c r="W2" s="73" t="s">
        <v>2</v>
      </c>
      <c r="X2" s="73" t="s">
        <v>455</v>
      </c>
      <c r="Y2" s="73" t="s">
        <v>443</v>
      </c>
      <c r="Z2" s="73" t="s">
        <v>447</v>
      </c>
      <c r="AA2" s="73" t="s">
        <v>464</v>
      </c>
      <c r="AB2" s="73" t="s">
        <v>2</v>
      </c>
      <c r="AC2" s="73" t="s">
        <v>2</v>
      </c>
      <c r="AD2" s="73" t="s">
        <v>474</v>
      </c>
    </row>
    <row r="3" spans="1:30" ht="48" customHeight="1">
      <c r="A3" s="73">
        <v>2021</v>
      </c>
      <c r="B3" s="74" t="s">
        <v>330</v>
      </c>
      <c r="C3" s="79" t="s">
        <v>326</v>
      </c>
      <c r="D3" s="73" t="s">
        <v>327</v>
      </c>
      <c r="E3" s="75" t="s">
        <v>328</v>
      </c>
      <c r="F3" s="76" t="s">
        <v>596</v>
      </c>
      <c r="G3" s="77" t="s">
        <v>430</v>
      </c>
      <c r="H3" s="77" t="s">
        <v>430</v>
      </c>
      <c r="I3" s="77" t="s">
        <v>430</v>
      </c>
      <c r="J3" s="77" t="s">
        <v>430</v>
      </c>
      <c r="K3" s="77" t="s">
        <v>430</v>
      </c>
      <c r="L3" s="77" t="s">
        <v>430</v>
      </c>
      <c r="M3" s="77" t="s">
        <v>430</v>
      </c>
      <c r="N3" s="73" t="s">
        <v>510</v>
      </c>
      <c r="O3" s="78" t="s">
        <v>430</v>
      </c>
      <c r="P3" s="76" t="s">
        <v>497</v>
      </c>
      <c r="Q3" s="74" t="s">
        <v>430</v>
      </c>
      <c r="R3" s="73" t="s">
        <v>420</v>
      </c>
      <c r="S3" s="73" t="s">
        <v>527</v>
      </c>
      <c r="T3" s="73" t="s">
        <v>434</v>
      </c>
      <c r="U3" s="73" t="s">
        <v>438</v>
      </c>
      <c r="V3" s="73" t="s">
        <v>329</v>
      </c>
      <c r="W3" s="73" t="s">
        <v>329</v>
      </c>
      <c r="X3" s="73" t="s">
        <v>452</v>
      </c>
      <c r="Y3" s="73" t="s">
        <v>444</v>
      </c>
      <c r="Z3" s="73" t="s">
        <v>448</v>
      </c>
      <c r="AA3" s="73" t="s">
        <v>462</v>
      </c>
      <c r="AB3" s="73" t="s">
        <v>329</v>
      </c>
      <c r="AC3" s="73" t="s">
        <v>329</v>
      </c>
      <c r="AD3" s="73" t="s">
        <v>475</v>
      </c>
    </row>
    <row r="4" spans="1:30" ht="48" customHeight="1">
      <c r="A4" s="73">
        <v>2022</v>
      </c>
      <c r="B4" s="74" t="s">
        <v>597</v>
      </c>
      <c r="C4" s="79" t="s">
        <v>320</v>
      </c>
      <c r="D4" s="73" t="s">
        <v>331</v>
      </c>
      <c r="E4" s="75" t="s">
        <v>332</v>
      </c>
      <c r="F4" s="76" t="s">
        <v>593</v>
      </c>
      <c r="N4" s="73" t="s">
        <v>509</v>
      </c>
      <c r="P4" s="76" t="s">
        <v>498</v>
      </c>
      <c r="R4" s="73" t="s">
        <v>421</v>
      </c>
      <c r="S4" s="73" t="s">
        <v>334</v>
      </c>
      <c r="T4" s="73" t="s">
        <v>435</v>
      </c>
      <c r="U4" s="73" t="s">
        <v>439</v>
      </c>
      <c r="X4" s="73" t="s">
        <v>454</v>
      </c>
      <c r="Y4" s="73" t="s">
        <v>445</v>
      </c>
      <c r="Z4" s="73" t="s">
        <v>449</v>
      </c>
      <c r="AA4" s="73" t="s">
        <v>463</v>
      </c>
      <c r="AD4" s="73" t="s">
        <v>476</v>
      </c>
    </row>
    <row r="5" spans="1:30" ht="48" customHeight="1">
      <c r="A5" s="73">
        <v>2023</v>
      </c>
      <c r="B5" s="74" t="s">
        <v>598</v>
      </c>
      <c r="C5" s="79" t="s">
        <v>334</v>
      </c>
      <c r="D5" s="73" t="s">
        <v>335</v>
      </c>
      <c r="E5" s="75" t="s">
        <v>336</v>
      </c>
      <c r="F5" s="76" t="s">
        <v>594</v>
      </c>
      <c r="N5" s="73" t="s">
        <v>490</v>
      </c>
      <c r="R5" s="73" t="s">
        <v>473</v>
      </c>
      <c r="T5" s="73" t="s">
        <v>334</v>
      </c>
      <c r="U5" s="73" t="s">
        <v>440</v>
      </c>
      <c r="X5" s="73" t="s">
        <v>453</v>
      </c>
      <c r="Y5" s="73" t="s">
        <v>334</v>
      </c>
      <c r="Z5" s="73" t="s">
        <v>450</v>
      </c>
      <c r="AA5" s="73" t="s">
        <v>334</v>
      </c>
      <c r="AD5" s="73" t="s">
        <v>477</v>
      </c>
    </row>
    <row r="6" spans="1:30" ht="48" customHeight="1">
      <c r="A6" s="73">
        <v>2024</v>
      </c>
      <c r="D6" s="73" t="s">
        <v>337</v>
      </c>
      <c r="E6" s="39"/>
      <c r="F6" s="76" t="s">
        <v>334</v>
      </c>
      <c r="N6" s="73" t="s">
        <v>333</v>
      </c>
      <c r="R6" s="73" t="s">
        <v>422</v>
      </c>
      <c r="U6" s="73" t="s">
        <v>441</v>
      </c>
      <c r="Z6" s="73" t="s">
        <v>451</v>
      </c>
      <c r="AD6" s="73" t="s">
        <v>478</v>
      </c>
    </row>
    <row r="7" spans="1:30" ht="48" customHeight="1">
      <c r="A7" s="73">
        <v>2025</v>
      </c>
      <c r="D7" s="73" t="s">
        <v>338</v>
      </c>
      <c r="E7" s="39"/>
      <c r="N7" s="73" t="s">
        <v>491</v>
      </c>
      <c r="R7" s="73" t="s">
        <v>423</v>
      </c>
      <c r="U7" s="73" t="s">
        <v>334</v>
      </c>
      <c r="Z7" s="73" t="s">
        <v>334</v>
      </c>
      <c r="AD7" s="73" t="s">
        <v>479</v>
      </c>
    </row>
    <row r="8" spans="1:30" ht="48" customHeight="1">
      <c r="A8" s="73">
        <v>2026</v>
      </c>
      <c r="B8" s="39"/>
      <c r="C8" s="39"/>
      <c r="D8" s="73" t="s">
        <v>339</v>
      </c>
      <c r="E8" s="39"/>
      <c r="F8" s="39"/>
      <c r="G8" s="39"/>
      <c r="H8" s="39"/>
      <c r="I8" s="39"/>
      <c r="J8" s="39"/>
      <c r="K8" s="39"/>
      <c r="L8" s="39"/>
      <c r="M8" s="39"/>
      <c r="N8" s="73" t="s">
        <v>492</v>
      </c>
      <c r="R8" s="73" t="s">
        <v>426</v>
      </c>
      <c r="AD8" s="73" t="s">
        <v>480</v>
      </c>
    </row>
    <row r="9" spans="1:30" ht="48" customHeight="1">
      <c r="A9" s="73">
        <v>2027</v>
      </c>
      <c r="B9" s="39" t="s">
        <v>407</v>
      </c>
      <c r="E9" s="39"/>
      <c r="F9" s="80" t="s">
        <v>407</v>
      </c>
      <c r="N9" s="73" t="s">
        <v>430</v>
      </c>
      <c r="R9" s="73" t="s">
        <v>424</v>
      </c>
    </row>
    <row r="10" spans="1:30" ht="48" customHeight="1">
      <c r="A10" s="73">
        <v>2028</v>
      </c>
      <c r="E10" s="39"/>
      <c r="R10" s="73" t="s">
        <v>425</v>
      </c>
    </row>
    <row r="11" spans="1:30" ht="48" customHeight="1">
      <c r="A11" s="73">
        <v>2029</v>
      </c>
      <c r="E11" s="39"/>
      <c r="R11" s="73" t="s">
        <v>431</v>
      </c>
    </row>
    <row r="12" spans="1:30" ht="48" customHeight="1">
      <c r="A12" s="73">
        <v>2030</v>
      </c>
      <c r="E12" s="39"/>
      <c r="F12" s="80" t="s">
        <v>407</v>
      </c>
      <c r="R12" s="73" t="s">
        <v>334</v>
      </c>
    </row>
    <row r="13" spans="1:30" ht="48" customHeight="1">
      <c r="A13" s="73">
        <v>2031</v>
      </c>
      <c r="E13" s="39"/>
    </row>
    <row r="14" spans="1:30" ht="48" customHeight="1">
      <c r="A14" s="73">
        <v>2032</v>
      </c>
      <c r="E14" s="39"/>
    </row>
    <row r="15" spans="1:30" ht="48" customHeight="1">
      <c r="A15" s="73">
        <v>2033</v>
      </c>
      <c r="E15" s="39"/>
    </row>
    <row r="16" spans="1:30" ht="48" customHeight="1">
      <c r="A16" s="73">
        <v>2034</v>
      </c>
      <c r="E16" s="39"/>
    </row>
    <row r="17" spans="1:5" ht="48" customHeight="1">
      <c r="A17" s="73">
        <v>2035</v>
      </c>
      <c r="E17" s="39"/>
    </row>
    <row r="18" spans="1:5" ht="48" customHeight="1">
      <c r="A18" s="73">
        <v>2036</v>
      </c>
      <c r="E18" s="39"/>
    </row>
    <row r="19" spans="1:5" ht="48" customHeight="1">
      <c r="A19" s="73">
        <v>2037</v>
      </c>
      <c r="E19" s="39"/>
    </row>
    <row r="20" spans="1:5" ht="48" customHeight="1">
      <c r="A20" s="73">
        <v>2038</v>
      </c>
      <c r="E20" s="39"/>
    </row>
    <row r="21" spans="1:5" ht="48" customHeight="1">
      <c r="A21" s="73">
        <v>2039</v>
      </c>
      <c r="E21" s="39"/>
    </row>
    <row r="22" spans="1:5" ht="48" customHeight="1">
      <c r="A22" s="73">
        <v>2040</v>
      </c>
      <c r="E22" s="39"/>
    </row>
  </sheetData>
  <sheetProtection algorithmName="SHA-512" hashValue="CPC+v0Oqs3D3/qDoZXqIgMiZJBv8JRBjXoZsab+1HXw6psNvbl0+3s8K/FWY3P0n5bbuWi9gVge5tGGiD3bzWw==" saltValue="5LzDSBIvu0HNA0kSzmCoGw==" spinCount="100000" sheet="1" objects="1" scenarios="1"/>
  <dataValidations count="1">
    <dataValidation type="list" allowBlank="1" showInputMessage="1" showErrorMessage="1" sqref="F7:M7" xr:uid="{9CE3175A-BFB4-4751-B098-5E11C55CF760}">
      <formula1>$F$2:$F$7</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763D-0B8B-4CAE-90EA-D871B7433954}">
  <sheetPr codeName="Sheet7"/>
  <dimension ref="B1:AA22"/>
  <sheetViews>
    <sheetView workbookViewId="0">
      <selection activeCell="I1" sqref="I1"/>
    </sheetView>
  </sheetViews>
  <sheetFormatPr baseColWidth="10" defaultColWidth="8.88671875" defaultRowHeight="14.4"/>
  <cols>
    <col min="2" max="2" width="29.5546875" customWidth="1"/>
    <col min="3" max="3" width="14" customWidth="1"/>
  </cols>
  <sheetData>
    <row r="1" spans="2:27">
      <c r="B1" s="19" t="str" cm="1">
        <f t="array" ref="B1:T1">TRANSPOSE((_xlfn.UNIQUE(Nomenclature[Famille Fidji ACT])))</f>
        <v>1- Enveloppe bâtiment</v>
      </c>
      <c r="C1" s="19" t="str">
        <v>2- Eclairage</v>
      </c>
      <c r="D1" s="19" t="str">
        <v>3- Réglage CVC</v>
      </c>
      <c r="E1" s="19" t="str">
        <v>4- Maintenance CVC</v>
      </c>
      <c r="F1" s="19" t="str">
        <v>5- Travaux CVC (hors abandon gaz &amp; fioul)</v>
      </c>
      <c r="G1" s="19" t="str">
        <v>6- EnR / Abandon énergies fossiles</v>
      </c>
      <c r="H1" s="19" t="str">
        <v>7- Eau chaude sanitaire</v>
      </c>
      <c r="I1" s="19" t="str">
        <v>8- Comptage &amp; suivi conso énergie / eau</v>
      </c>
      <c r="J1" s="19" t="str">
        <v>9- BACS / gtb</v>
      </c>
      <c r="K1" s="19" t="str">
        <v>10- Froid alimentaire</v>
      </c>
      <c r="L1" s="19" t="str">
        <v>11- Organisation / communication</v>
      </c>
      <c r="M1" s="19" t="str">
        <v>12- Achats responsables</v>
      </c>
      <c r="N1" s="19" t="str">
        <v>13- Eau</v>
      </c>
      <c r="O1" s="19" t="str">
        <v>14- Numérique</v>
      </c>
      <c r="P1" s="19" t="str">
        <v>15- Biodiversité</v>
      </c>
      <c r="Q1" s="19" t="str">
        <v>16- Mobilité</v>
      </c>
      <c r="R1" s="19" t="str">
        <v>17- Réduction &amp; gestion des déchets</v>
      </c>
      <c r="S1" s="19" t="str">
        <v>18- Adaptation au risque climatique</v>
      </c>
      <c r="T1" s="19" t="str">
        <v>19- Autres actions environnementales</v>
      </c>
      <c r="U1" s="19"/>
      <c r="V1" s="19"/>
      <c r="W1" s="19"/>
      <c r="X1" s="19"/>
      <c r="Y1" s="19"/>
    </row>
    <row r="2" spans="2:27">
      <c r="B2" s="20" t="str" cm="1">
        <f t="array" ref="B2:B13">_xlfn._xlws.FILTER(Nomenclature[[Libellé court type d''action]:[Libellé court type d''action]],Nomenclature[[Famille Fidji ACT]:[Famille Fidji ACT]]=B1)</f>
        <v>1_1_ITE_facade</v>
      </c>
      <c r="C2" s="20" t="str" cm="1">
        <f t="array" ref="C2:C10">_xlfn._xlws.FILTER(Nomenclature[[Libellé court type d''action]:[Libellé court type d''action]],Nomenclature[[Famille Fidji ACT]:[Famille Fidji ACT]]=C1)</f>
        <v>2_1_eteindre_quand_inoccupe</v>
      </c>
      <c r="D2" s="20" t="str" cm="1">
        <f t="array" ref="D2:D14">_xlfn._xlws.FILTER(Nomenclature[[Libellé court type d''action]:[Libellé court type d''action]],Nomenclature[[Famille Fidji ACT]:[Famille Fidji ACT]]=D1)</f>
        <v>3_1_reduire_saison_chauffe</v>
      </c>
      <c r="E2" s="20" t="str" cm="1">
        <f t="array" ref="E2:E9">_xlfn._xlws.FILTER(Nomenclature[[Libellé court type d''action]:[Libellé court type d''action]],Nomenclature[[Famille Fidji ACT]:[Famille Fidji ACT]]=E1)</f>
        <v>4_1_reviser_equipements_CVC</v>
      </c>
      <c r="F2" s="20" t="str" cm="1">
        <f t="array" ref="F2:F14">_xlfn._xlws.FILTER(Nomenclature[[Libellé court type d''action]:[Libellé court type d''action]],Nomenclature[[Famille Fidji ACT]:[Famille Fidji ACT]]=F1)</f>
        <v>5_1_remplacement_equipement</v>
      </c>
      <c r="G2" s="20" t="str" cm="1">
        <f t="array" ref="G2:G9">_xlfn._xlws.FILTER(Nomenclature[[Libellé court type d''action]:[Libellé court type d''action]],Nomenclature[[Famille Fidji ACT]:[Famille Fidji ACT]]=G1)</f>
        <v>6_1_remplacer_chauffage_gaz_fioul_par_pac</v>
      </c>
      <c r="H2" s="20" t="str" cm="1">
        <f t="array" ref="H2:H8">_xlfn._xlws.FILTER(Nomenclature[[Libellé court type d''action]:[Libellé court type d''action]],Nomenclature[[Famille Fidji ACT]:[Famille Fidji ACT]]=H1)</f>
        <v>7_1_adapter_production_ECS_au_besoin</v>
      </c>
      <c r="I2" s="20" t="str" cm="1">
        <f t="array" ref="I2:I8">_xlfn._xlws.FILTER(Nomenclature[[Libellé court type d''action]:[Libellé court type d''action]],Nomenclature[[Famille Fidji ACT]:[Famille Fidji ACT]]=I1)</f>
        <v>8_1_cartographie_comptage_energie</v>
      </c>
      <c r="J2" s="20" t="str" cm="1">
        <f t="array" ref="J2:J11">_xlfn._xlws.FILTER(Nomenclature[[Libellé court type d''action]:[Libellé court type d''action]],Nomenclature[[Famille Fidji ACT]:[Famille Fidji ACT]]=J1)</f>
        <v>9_1_installer_moderniser_gtb</v>
      </c>
      <c r="K2" s="20" t="str" cm="1">
        <f t="array" ref="K2:K10">_xlfn._xlws.FILTER(Nomenclature[[Libellé court type d''action]:[Libellé court type d''action]],Nomenclature[[Famille Fidji ACT]:[Famille Fidji ACT]]=K1)</f>
        <v>10_1_remplissage_meuble_froid</v>
      </c>
      <c r="L2" s="20" t="str" cm="1">
        <f t="array" ref="L2:L11">_xlfn._xlws.FILTER(Nomenclature[[Libellé court type d''action]:[Libellé court type d''action]],Nomenclature[[Famille Fidji ACT]:[Famille Fidji ACT]]=L1)</f>
        <v>11_1_fermeture_espaces_chauff_clim</v>
      </c>
      <c r="M2" s="20" t="str" cm="1">
        <f t="array" ref="M2:M8">_xlfn._xlws.FILTER(Nomenclature[[Libellé court type d''action]:[Libellé court type d''action]],Nomenclature[[Famille Fidji ACT]:[Famille Fidji ACT]]=M1)</f>
        <v>12_1_enr_garantie_origine</v>
      </c>
      <c r="N2" s="20" t="str" cm="1">
        <f t="array" ref="N2:N8">_xlfn._xlws.FILTER(Nomenclature[[Libellé court type d''action]:[Libellé court type d''action]],Nomenclature[[Famille Fidji ACT]:[Famille Fidji ACT]]=N1)</f>
        <v>13_1_recherche_reactivite_fuite_eau</v>
      </c>
      <c r="O2" s="20" t="str" cm="1">
        <f t="array" ref="O2:O11">_xlfn._xlws.FILTER(Nomenclature[[Libellé court type d''action]:[Libellé court type d''action]],Nomenclature[[Famille Fidji ACT]:[Famille Fidji ACT]]=O1)</f>
        <v>14_1_audit_energétique_IT</v>
      </c>
      <c r="P2" s="20" t="str" cm="1">
        <f t="array" ref="P2:P13">_xlfn._xlws.FILTER(Nomenclature[[Libellé court type d''action]:[Libellé court type d''action]],Nomenclature[[Famille Fidji ACT]:[Famille Fidji ACT]]=P1)</f>
        <v>15_1_effectuer_diag_biodiversite</v>
      </c>
      <c r="Q2" s="20" t="str" cm="1">
        <f t="array" ref="Q2:Q9">_xlfn._xlws.FILTER(Nomenclature[[Libellé court type d''action]:[Libellé court type d''action]],Nomenclature[[Famille Fidji ACT]:[Famille Fidji ACT]]=Q1)</f>
        <v>16_1_plan_mobilite_douce</v>
      </c>
      <c r="R2" s="20" t="str" cm="1">
        <f t="array" ref="R2:R9">_xlfn._xlws.FILTER(Nomenclature[[Libellé court type d''action]:[Libellé court type d''action]],Nomenclature[[Famille Fidji ACT]:[Famille Fidji ACT]]=R1)</f>
        <v>17_1_realiser_audit_dechets</v>
      </c>
      <c r="S2" s="20" t="str" cm="1">
        <f t="array" ref="S2:S11">_xlfn._xlws.FILTER(Nomenclature[[Libellé court type d''action]:[Libellé court type d''action]],Nomenclature[[Famille Fidji ACT]:[Famille Fidji ACT]]=S1)</f>
        <v>18_1_etude_a_distance_expo_risque</v>
      </c>
      <c r="T2" s="20" t="str" cm="1">
        <f t="array" ref="T2:T12">_xlfn._xlws.FILTER(Nomenclature[[Libellé court type d''action]:[Libellé court type d''action]],Nomenclature[[Famille Fidji ACT]:[Famille Fidji ACT]]=T1)</f>
        <v>19_1_realiser_audit_batiment</v>
      </c>
      <c r="U2" s="20"/>
      <c r="V2" s="20"/>
      <c r="W2" s="20"/>
      <c r="X2" s="20"/>
      <c r="Y2" s="20"/>
    </row>
    <row r="3" spans="2:27">
      <c r="B3" t="str">
        <v>1_2_ITE_toiture</v>
      </c>
      <c r="C3" t="str">
        <v>2_2_graduer_eclairage</v>
      </c>
      <c r="D3" t="str">
        <v>3_2_baisser_temp_nuit_we</v>
      </c>
      <c r="E3" t="str">
        <v>4_2_monitoring_performance_cvc</v>
      </c>
      <c r="F3" t="str">
        <v>5_2_installation_nouvel_equipement</v>
      </c>
      <c r="G3" t="str">
        <v>6_2_remplacer_chauffage_gaz_fioul_par_biomasse</v>
      </c>
      <c r="H3" t="str">
        <v>7_2_arrêter_production_ecs_si_possible</v>
      </c>
      <c r="I3" t="str">
        <v>8_2_telereleve_systeme_management_energie</v>
      </c>
      <c r="J3" t="str">
        <v>9_2_inspection_fonctionnement_gtb</v>
      </c>
      <c r="K3" t="str">
        <v>10_2_reglage_hp_bp_flottante_centrales</v>
      </c>
      <c r="L3" t="str">
        <v>11_2_regrouper_presents_sur_site</v>
      </c>
      <c r="M3" t="str">
        <v>12_2_power_purchase_agreement</v>
      </c>
      <c r="N3" t="str">
        <v>13_2_raccorder_pilotage_eau_a_la_gtb</v>
      </c>
      <c r="O3" t="str">
        <v>14_2_mise_en_veille_extinction_automatique</v>
      </c>
      <c r="P3" t="str">
        <v>15_2_plan_gestion_biodiversite</v>
      </c>
      <c r="Q3" t="str">
        <v>16_2_adapter_site_velo</v>
      </c>
      <c r="R3" t="str">
        <v>17_2_suivre_ratio_dechets</v>
      </c>
      <c r="S3" t="str">
        <v>18_2_audit_sur_site_resilience_risque</v>
      </c>
      <c r="T3" t="str">
        <v>19_2_etablir_bilan_carbone</v>
      </c>
      <c r="AA3" t="s">
        <v>427</v>
      </c>
    </row>
    <row r="4" spans="2:27">
      <c r="B4" t="str">
        <v>1_3_vegetaliser_toiture</v>
      </c>
      <c r="C4" t="str">
        <v>2_3_reduire_eclairage_exterieur</v>
      </c>
      <c r="D4" t="str">
        <v>3_3_hors_gel</v>
      </c>
      <c r="E4" t="str">
        <v>4_3_retro_commissionning_CVC</v>
      </c>
      <c r="F4" t="str">
        <v>5_3_isoler_reseau_chauffage_eg</v>
      </c>
      <c r="G4" t="str">
        <v>6_3_remplacer_par_reseau_chaleur</v>
      </c>
      <c r="H4" t="str">
        <v>7_3_isoler_ballon_reseau</v>
      </c>
      <c r="I4" t="str">
        <v>8_3_sous_compteurs_energie</v>
      </c>
      <c r="J4" t="str">
        <v>9_3_suivi_conso_energie</v>
      </c>
      <c r="K4" t="str">
        <v>10_3_remplacer_meubles_froid</v>
      </c>
      <c r="L4" t="str">
        <v>11_3_organiser_occupation_du_site</v>
      </c>
      <c r="M4" t="str">
        <v>12_3_integrer_cee_dans_strategie_achat</v>
      </c>
      <c r="N4" t="str">
        <v>13_3_collecte_reutilisation_eaux_grises</v>
      </c>
      <c r="O4" t="str">
        <v>14_3_coupure_centralisee_bureautique</v>
      </c>
      <c r="P4" t="str">
        <v>15_3_traitement_espaces_verts</v>
      </c>
      <c r="Q4" t="str">
        <v>16_3_ solutions_mobilite_tarif_preferentiel</v>
      </c>
      <c r="R4" t="str">
        <v>17_3_organiser_traitement_in_situ</v>
      </c>
      <c r="S4" t="str">
        <v>18_3_mettre_en_place_plan_resilience</v>
      </c>
      <c r="T4" t="str">
        <v>19_3_payback_carbone_projet_reno</v>
      </c>
      <c r="AA4" t="s">
        <v>458</v>
      </c>
    </row>
    <row r="5" spans="2:27">
      <c r="B5" t="str">
        <v>1_4_vegetaliser_facade</v>
      </c>
      <c r="C5" t="str">
        <v>2_4_maximiser_eclairage_naturel</v>
      </c>
      <c r="D5" t="str">
        <v>3_4_clim_26_degres_chauffage_19</v>
      </c>
      <c r="E5" t="str">
        <v>4_4_verifier_pompe_boucle_eau</v>
      </c>
      <c r="F5" t="str">
        <v>5_4_regulateurs_chaudières_en_cascade</v>
      </c>
      <c r="G5" t="str">
        <v>6_4_privilégier_mode_pac_sur_hybride</v>
      </c>
      <c r="H5" t="str">
        <v>7_4_recuperer_energie_pour_ECS</v>
      </c>
      <c r="I5" t="str">
        <v>8_4_cartographie_compteurs_eau</v>
      </c>
      <c r="J5" t="str">
        <v>9_4_plan_formation_utilisation_gtb</v>
      </c>
      <c r="K5" t="str">
        <v>10_4_remplacer_centrales</v>
      </c>
      <c r="L5" t="str">
        <v>11_4_fermer_1_jour_par_semaine</v>
      </c>
      <c r="M5" t="str">
        <v>12_4_privilegier_achats_a_faible_impact</v>
      </c>
      <c r="N5" t="str">
        <v>13_4_installer_recuperateur_ep</v>
      </c>
      <c r="O5" t="str">
        <v>14_4_temperature_clim_salle_serveur</v>
      </c>
      <c r="P5" t="str">
        <v>15_4_installer_habitat_faune</v>
      </c>
      <c r="Q5" t="str">
        <v>16_4_incitation_limiter_deplacements</v>
      </c>
      <c r="R5" t="str">
        <v>17_4_sensibiliser_recyclage</v>
      </c>
      <c r="S5" t="str">
        <v>18_4_permeabiliser_parking</v>
      </c>
      <c r="T5" t="str">
        <v>19_4_outil_modelisation_trajectoire</v>
      </c>
      <c r="AA5" t="s">
        <v>457</v>
      </c>
    </row>
    <row r="6" spans="2:27">
      <c r="B6" t="str">
        <v>1_5_peinture_roof</v>
      </c>
      <c r="C6" t="str">
        <v>2_5_moderniser_eclairage</v>
      </c>
      <c r="D6" t="str">
        <v>3_5_regul_thermostat_detecteur</v>
      </c>
      <c r="E6" t="str">
        <v>4_5_controler_reseau_hydraulique</v>
      </c>
      <c r="F6" t="str">
        <v>5_5_module_equilibrage_reseau</v>
      </c>
      <c r="G6" t="str">
        <v>6_5_installer_energie_renouvelable</v>
      </c>
      <c r="H6" t="str">
        <v>7_5_installer_ecs_solaire</v>
      </c>
      <c r="I6" t="str">
        <v>8_5_telereleve_systeme_management_eau</v>
      </c>
      <c r="J6" t="str">
        <v>9_5_carnet_gtb</v>
      </c>
      <c r="K6" t="str">
        <v>10_5_retrofit_fluide_frigorigene</v>
      </c>
      <c r="L6" t="str">
        <v>11_5_comite_plan_action</v>
      </c>
      <c r="M6" t="str">
        <v>12_5_favoriser_reemploi_dans_les_achats</v>
      </c>
      <c r="N6" t="str">
        <v>13_5_reinjecter_EP_dans_usages_autorises</v>
      </c>
      <c r="O6" t="str">
        <v>14_5_proner_sobriete_numerique_usages</v>
      </c>
      <c r="P6" t="str">
        <v>15_5_vegetalisation_pleine_terre</v>
      </c>
      <c r="Q6" t="str">
        <v>16_5_installer_maintenir_irve</v>
      </c>
      <c r="R6" t="str">
        <v>17_5_bonus_reduction_dechets</v>
      </c>
      <c r="S6" t="str">
        <v>18_5_creer_espace_ombrage</v>
      </c>
      <c r="T6" t="str">
        <v>19_5_outil_suivi_plan_format_fidji_act</v>
      </c>
      <c r="AA6" t="s">
        <v>461</v>
      </c>
    </row>
    <row r="7" spans="2:27">
      <c r="B7" t="str">
        <v>1_6_iti</v>
      </c>
      <c r="C7" t="str">
        <v>2_6_eteindre_pub_enseigne</v>
      </c>
      <c r="D7" t="str">
        <v>3_6_ventilation_taux_occupation</v>
      </c>
      <c r="E7" t="str">
        <v>4_6_desembouer_filtres_antiboues</v>
      </c>
      <c r="F7" t="str">
        <v>5_6_vmc_double_flux</v>
      </c>
      <c r="G7" t="str">
        <v>6_6_unite_stockage_energie</v>
      </c>
      <c r="H7" t="str">
        <v>7_6_installer_ecs_thermodynamique</v>
      </c>
      <c r="I7" t="str">
        <v>8_6_sous_compteurs_eau</v>
      </c>
      <c r="J7" t="str">
        <v>9_6_mise_a_jour_logiciel_gtb</v>
      </c>
      <c r="K7" t="str">
        <v>10_6_remplacer_gtc_froid_alimentaire</v>
      </c>
      <c r="L7" t="str">
        <v>11_6_designer_un_referent_par_site</v>
      </c>
      <c r="M7" t="str">
        <v>12_6_charte_achat_responsable</v>
      </c>
      <c r="N7" t="str">
        <v>13_6_equipements_hydroeconomes</v>
      </c>
      <c r="O7" t="str">
        <v>14_6_proner_sobriete_numerique_stockage</v>
      </c>
      <c r="P7" t="str">
        <v>15_6_renaturer_zone_artificialisee</v>
      </c>
      <c r="Q7" t="str">
        <v>16_6_solution_autopartage</v>
      </c>
      <c r="R7" t="str">
        <v>17_6_favoriser_reemploi</v>
      </c>
      <c r="S7" t="str">
        <v>18_6_noues</v>
      </c>
      <c r="T7" t="str">
        <v>19_6_base_connaissance_equipements</v>
      </c>
    </row>
    <row r="8" spans="2:27">
      <c r="B8" t="str">
        <v>1_7_protection_soleil_menuiseries_facade</v>
      </c>
      <c r="C8" t="str">
        <v>2_7_installer_systeme_commande</v>
      </c>
      <c r="D8" t="str">
        <v>3_7_prioriser_mode_pac_hybride</v>
      </c>
      <c r="E8" t="str">
        <v>4_7_filtres_air</v>
      </c>
      <c r="F8" t="str">
        <v>5_7_regulation_sonde_CO2</v>
      </c>
      <c r="G8" t="str">
        <v>6_7_cogeneration</v>
      </c>
      <c r="H8" t="str">
        <v>7_7_autre_action_ECS</v>
      </c>
      <c r="I8" t="str">
        <v>8_7_autre_action_comptage_suivi</v>
      </c>
      <c r="J8" t="str">
        <v>9_7_bacs_equipements_energivores</v>
      </c>
      <c r="K8" t="str">
        <v>10_7_installer_portes_meubles_froid</v>
      </c>
      <c r="L8" t="str">
        <v>11_7_comm_pour_faire_accepter</v>
      </c>
      <c r="M8" t="str">
        <v>12_7_autre_action_achats_responsables</v>
      </c>
      <c r="N8" t="str">
        <v>13_7_autre_action_sur_eau</v>
      </c>
      <c r="O8" t="str">
        <v>14_7_reduire_temps_ecran_diffusion</v>
      </c>
      <c r="P8" t="str">
        <v>15_7_vegetalisation_hors_sol</v>
      </c>
      <c r="Q8" t="str">
        <v>16_7_communiquer_plan_mobilite</v>
      </c>
      <c r="R8" t="str">
        <v>17_7__contenants_couverts</v>
      </c>
      <c r="S8" t="str">
        <v>18_7_bassins_retention</v>
      </c>
      <c r="T8" t="str">
        <v>19_7_in_use_very_good_batiment</v>
      </c>
      <c r="AA8" t="s">
        <v>465</v>
      </c>
    </row>
    <row r="9" spans="2:27">
      <c r="B9" t="str">
        <v>1_8_remplacer_menuiseries_extérieures</v>
      </c>
      <c r="C9" t="str">
        <v>2_8_raccorder_eclairage_BACS</v>
      </c>
      <c r="D9" t="str">
        <v>3_8_decaler_remise_chauffe</v>
      </c>
      <c r="E9" t="str">
        <v>4_8_autre_maintenance_CVC</v>
      </c>
      <c r="F9" t="str">
        <v>5_8_recupe_chaleur_air_extrait_process</v>
      </c>
      <c r="G9" t="str">
        <v>6_8_autre_action_ENR_abandon_gaz_fioul</v>
      </c>
      <c r="J9" t="str">
        <v>9_8_connecter_BACS_flex</v>
      </c>
      <c r="K9" t="str">
        <v>10_8_recuperer_calories_frigo</v>
      </c>
      <c r="L9" t="str">
        <v>11_8_rendre_ludique_effort_commun</v>
      </c>
      <c r="O9" t="str">
        <v>14_8_recuperer_energie_serveurs</v>
      </c>
      <c r="P9" t="str">
        <v>15_8_eco_paturage</v>
      </c>
      <c r="Q9" t="str">
        <v>16_8_autre_action_mobilite</v>
      </c>
      <c r="R9" t="str">
        <v>17_8_autre_reduction_gestion_dechets</v>
      </c>
      <c r="S9" t="str">
        <v>18_8_diag_deconnexion_reseau</v>
      </c>
      <c r="T9" t="str">
        <v>19_8_in_use_very_good_pilotage</v>
      </c>
    </row>
    <row r="10" spans="2:27">
      <c r="B10" t="str">
        <v>1_9_isoler_plancher_bas</v>
      </c>
      <c r="C10" t="str">
        <v>2_9_autre_action_eclairage</v>
      </c>
      <c r="D10" t="str">
        <v>3_9_couper_alim_si_non_utilise</v>
      </c>
      <c r="F10" t="str">
        <v>5_9_destratificateur</v>
      </c>
      <c r="J10" t="str">
        <v>9_9_connecter_gtb_meteo_et_activite</v>
      </c>
      <c r="K10" t="str">
        <v>10_9_autre_action_froid_alimentaire</v>
      </c>
      <c r="L10" t="str">
        <v>11_9_sensibiliser_aux_ecogestes</v>
      </c>
      <c r="O10" t="str">
        <v>14_9_code_europeen_datacenter</v>
      </c>
      <c r="P10" t="str">
        <v>15_9_eclairage_trame_noire</v>
      </c>
      <c r="S10" t="str">
        <v>18_9_risque_exposition_feu_foret</v>
      </c>
      <c r="T10" t="str">
        <v>19_9_risques_fort_impact_carbone</v>
      </c>
      <c r="AA10" t="s">
        <v>466</v>
      </c>
    </row>
    <row r="11" spans="2:27">
      <c r="B11" t="str">
        <v>1_10_isoler_plancher_haut</v>
      </c>
      <c r="D11" t="str">
        <v>3_10_hp_bp_flottante</v>
      </c>
      <c r="F11" t="str">
        <v>5_10_freecooling</v>
      </c>
      <c r="J11" t="str">
        <v>9_10_autre_action_BACS_GTB</v>
      </c>
      <c r="L11" t="str">
        <v>11_10_autre_action_orga_comm</v>
      </c>
      <c r="O11" t="str">
        <v>14_10_autre_action_numerique</v>
      </c>
      <c r="P11" t="str">
        <v>15_10_accessible_et_ludique</v>
      </c>
      <c r="S11" t="str">
        <v>18_10_autre_action_adaptation_climat</v>
      </c>
      <c r="T11" t="str">
        <v>19_10_cpe_service_travaux</v>
      </c>
      <c r="AA11" t="s">
        <v>467</v>
      </c>
    </row>
    <row r="12" spans="2:27">
      <c r="B12" t="str">
        <v>1_11_remplacer_facade_existante</v>
      </c>
      <c r="D12" t="str">
        <v>3_11_freecooling</v>
      </c>
      <c r="F12" t="str">
        <v>5_11_raccord_reseau_urbain</v>
      </c>
      <c r="P12" t="str">
        <v>15_11_communiquer_biodiversité</v>
      </c>
      <c r="T12" t="str">
        <v>19_11_autre_action_environnement</v>
      </c>
    </row>
    <row r="13" spans="2:27">
      <c r="B13" t="str">
        <v>1_12_autre_action_enveloppe</v>
      </c>
      <c r="D13" t="str">
        <v>3_12_loi_d_eau</v>
      </c>
      <c r="F13" t="str">
        <v>5_12_pilotage_cvc_via_gtb</v>
      </c>
      <c r="P13" t="str">
        <v>15_12_autre_action_biodiversité</v>
      </c>
    </row>
    <row r="14" spans="2:27">
      <c r="D14" t="str">
        <v>3_13_autre_reglage_cvc</v>
      </c>
      <c r="F14" t="str">
        <v>5_13_autres_travaux_CVC</v>
      </c>
    </row>
    <row r="15" spans="2:27">
      <c r="AA15" t="s">
        <v>469</v>
      </c>
    </row>
    <row r="16" spans="2:27">
      <c r="AA16" t="s">
        <v>428</v>
      </c>
    </row>
    <row r="17" spans="2:27">
      <c r="AA17" t="s">
        <v>459</v>
      </c>
    </row>
    <row r="18" spans="2:27" ht="15.6">
      <c r="B18" s="21"/>
      <c r="AA18" t="s">
        <v>429</v>
      </c>
    </row>
    <row r="20" spans="2:27">
      <c r="AA20" t="s">
        <v>460</v>
      </c>
    </row>
    <row r="21" spans="2:27">
      <c r="AA21" t="s">
        <v>470</v>
      </c>
    </row>
    <row r="22" spans="2:27">
      <c r="AA22" t="s">
        <v>471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79848AF0D0C543BDB5C56BCA8C0A89" ma:contentTypeVersion="18" ma:contentTypeDescription="Crée un document." ma:contentTypeScope="" ma:versionID="a6dc19ffd6ce50a872ac615ae64787d3">
  <xsd:schema xmlns:xsd="http://www.w3.org/2001/XMLSchema" xmlns:xs="http://www.w3.org/2001/XMLSchema" xmlns:p="http://schemas.microsoft.com/office/2006/metadata/properties" xmlns:ns2="b47af1d1-731a-40a8-aab8-44a0dc78c18c" xmlns:ns3="e348e249-9ce7-46df-b0c4-7e5ff6a1bb1e" targetNamespace="http://schemas.microsoft.com/office/2006/metadata/properties" ma:root="true" ma:fieldsID="285de1a7db8e50435927113662daf0e8" ns2:_="" ns3:_="">
    <xsd:import namespace="b47af1d1-731a-40a8-aab8-44a0dc78c18c"/>
    <xsd:import namespace="e348e249-9ce7-46df-b0c4-7e5ff6a1bb1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7af1d1-731a-40a8-aab8-44a0dc78c18c"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d08e0821-d2ff-430b-b571-51e93cfb22eb}" ma:internalName="TaxCatchAll" ma:showField="CatchAllData" ma:web="b47af1d1-731a-40a8-aab8-44a0dc78c18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348e249-9ce7-46df-b0c4-7e5ff6a1bb1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362ff5a6-5265-4f62-848b-96c508805b8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47af1d1-731a-40a8-aab8-44a0dc78c18c" xsi:nil="true"/>
    <lcf76f155ced4ddcb4097134ff3c332f xmlns="e348e249-9ce7-46df-b0c4-7e5ff6a1bb1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BFFD63B-E704-4A27-9AEE-AB7F93064D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7af1d1-731a-40a8-aab8-44a0dc78c18c"/>
    <ds:schemaRef ds:uri="e348e249-9ce7-46df-b0c4-7e5ff6a1bb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41729F-77CF-4516-896C-F37C4A92E478}">
  <ds:schemaRefs>
    <ds:schemaRef ds:uri="http://schemas.microsoft.com/sharepoint/v3/contenttype/forms"/>
  </ds:schemaRefs>
</ds:datastoreItem>
</file>

<file path=customXml/itemProps3.xml><?xml version="1.0" encoding="utf-8"?>
<ds:datastoreItem xmlns:ds="http://schemas.openxmlformats.org/officeDocument/2006/customXml" ds:itemID="{F91156C2-80BD-476B-ADD6-7481224BB0C8}">
  <ds:schemaRefs>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 ds:uri="e348e249-9ce7-46df-b0c4-7e5ff6a1bb1e"/>
    <ds:schemaRef ds:uri="b47af1d1-731a-40a8-aab8-44a0dc78c18c"/>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Start</vt:lpstr>
      <vt:lpstr>Reference data</vt:lpstr>
      <vt:lpstr>Action Plan</vt:lpstr>
      <vt:lpstr>Print PDF</vt:lpstr>
      <vt:lpstr>Nomenclature</vt:lpstr>
      <vt:lpstr>Backend</vt:lpstr>
      <vt:lpstr>Calculation</vt:lpstr>
      <vt:lpstr>'Print PDF'!Zone_d_impression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Jerome Delsol</dc:creator>
  <cp:keywords/>
  <dc:description/>
  <cp:lastModifiedBy>Jerome Delsol</cp:lastModifiedBy>
  <cp:revision/>
  <cp:lastPrinted>2025-02-06T09:38:35Z</cp:lastPrinted>
  <dcterms:created xsi:type="dcterms:W3CDTF">2023-05-25T15:35:01Z</dcterms:created>
  <dcterms:modified xsi:type="dcterms:W3CDTF">2025-03-24T11:12:11Z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0x0101008679848AF0D0C543BDB5C56BCA8C0A89</vt:lpwstr>
  </property>
  <property fmtid="{D5CDD505-2E9C-101B-9397-08002B2CF9AE}" pid="3" name="MediaServiceImageTags">
    <vt:lpwstr/>
  </property>
</Properties>
</file>